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72" tabRatio="827"/>
  </bookViews>
  <sheets>
    <sheet name="Lista" sheetId="1" r:id="rId1"/>
    <sheet name="CAP.0-ESTALEIRO" sheetId="12" r:id="rId2"/>
    <sheet name="Vitorina Varela Lopes" sheetId="2" r:id="rId3"/>
    <sheet name="Jassica Gomes das Neves " sheetId="3" r:id="rId4"/>
    <sheet name="Vaneisa Veiga Souto Amado" sheetId="4" r:id="rId5"/>
    <sheet name="Patricia Afonso Furtado" sheetId="5" r:id="rId6"/>
    <sheet name="Teresa Maria Correia Moreira" sheetId="6" r:id="rId7"/>
    <sheet name="Ana Lurdes da Veiga Correia" sheetId="7" r:id="rId8"/>
    <sheet name="Isabel Vieira Tavares" sheetId="8" r:id="rId9"/>
    <sheet name="Elisangela Lopes dos Santos" sheetId="9" r:id="rId10"/>
    <sheet name="Maria Bernaldeth Correia Sena" sheetId="10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2" l="1"/>
  <c r="G8" i="12" s="1"/>
  <c r="G12" i="12" s="1"/>
  <c r="F74" i="8" l="1"/>
  <c r="F73" i="8"/>
  <c r="F72" i="8"/>
  <c r="G70" i="8"/>
  <c r="F68" i="8"/>
  <c r="F67" i="8"/>
  <c r="F66" i="8"/>
  <c r="F65" i="8"/>
  <c r="F64" i="8"/>
  <c r="F63" i="8"/>
  <c r="F62" i="8"/>
  <c r="G60" i="8"/>
  <c r="D58" i="8"/>
  <c r="F58" i="8" s="1"/>
  <c r="F57" i="8"/>
  <c r="G55" i="8" s="1"/>
  <c r="F53" i="8"/>
  <c r="G51" i="8"/>
  <c r="F49" i="8"/>
  <c r="G47" i="8"/>
  <c r="F45" i="8"/>
  <c r="G43" i="8"/>
  <c r="D41" i="8"/>
  <c r="F41" i="8" s="1"/>
  <c r="D40" i="8"/>
  <c r="F40" i="8" s="1"/>
  <c r="D39" i="8"/>
  <c r="F39" i="8" s="1"/>
  <c r="D38" i="8"/>
  <c r="F38" i="8" s="1"/>
  <c r="D33" i="8"/>
  <c r="F33" i="8" s="1"/>
  <c r="D32" i="8"/>
  <c r="F32" i="8" s="1"/>
  <c r="G30" i="8" s="1"/>
  <c r="D28" i="8"/>
  <c r="F28" i="8" s="1"/>
  <c r="G26" i="8" s="1"/>
  <c r="D24" i="8"/>
  <c r="F24" i="8" s="1"/>
  <c r="D23" i="8"/>
  <c r="F23" i="8" s="1"/>
  <c r="D22" i="8"/>
  <c r="F22" i="8" s="1"/>
  <c r="D21" i="8"/>
  <c r="F21" i="8" s="1"/>
  <c r="D19" i="8"/>
  <c r="F19" i="8" s="1"/>
  <c r="D15" i="8"/>
  <c r="F15" i="8" s="1"/>
  <c r="G13" i="8" s="1"/>
  <c r="D11" i="8"/>
  <c r="F11" i="8" s="1"/>
  <c r="D10" i="8"/>
  <c r="F10" i="8" s="1"/>
  <c r="F81" i="3"/>
  <c r="G79" i="3"/>
  <c r="F77" i="3"/>
  <c r="F76" i="3"/>
  <c r="F75" i="3"/>
  <c r="F74" i="3"/>
  <c r="F73" i="3"/>
  <c r="G71" i="3"/>
  <c r="D69" i="3"/>
  <c r="F69" i="3" s="1"/>
  <c r="F68" i="3"/>
  <c r="F64" i="3"/>
  <c r="F63" i="3"/>
  <c r="F62" i="3"/>
  <c r="G60" i="3" s="1"/>
  <c r="F58" i="3"/>
  <c r="F57" i="3"/>
  <c r="G55" i="3"/>
  <c r="F53" i="3"/>
  <c r="G51" i="3"/>
  <c r="F49" i="3"/>
  <c r="F48" i="3"/>
  <c r="F47" i="3"/>
  <c r="D45" i="3"/>
  <c r="F45" i="3" s="1"/>
  <c r="D44" i="3"/>
  <c r="F44" i="3" s="1"/>
  <c r="D43" i="3"/>
  <c r="F43" i="3" s="1"/>
  <c r="F42" i="3"/>
  <c r="D42" i="3"/>
  <c r="D37" i="3"/>
  <c r="F37" i="3" s="1"/>
  <c r="D36" i="3"/>
  <c r="F36" i="3" s="1"/>
  <c r="D35" i="3"/>
  <c r="F35" i="3" s="1"/>
  <c r="D34" i="3"/>
  <c r="F34" i="3" s="1"/>
  <c r="D33" i="3"/>
  <c r="F33" i="3" s="1"/>
  <c r="D29" i="3"/>
  <c r="F29" i="3" s="1"/>
  <c r="G27" i="3" s="1"/>
  <c r="D25" i="3"/>
  <c r="F25" i="3" s="1"/>
  <c r="D24" i="3"/>
  <c r="F24" i="3" s="1"/>
  <c r="D23" i="3"/>
  <c r="F23" i="3" s="1"/>
  <c r="D22" i="3"/>
  <c r="F22" i="3" s="1"/>
  <c r="D20" i="3"/>
  <c r="F20" i="3" s="1"/>
  <c r="D16" i="3"/>
  <c r="F16" i="3" s="1"/>
  <c r="G14" i="3" s="1"/>
  <c r="D12" i="3"/>
  <c r="F12" i="3" s="1"/>
  <c r="D11" i="3"/>
  <c r="F11" i="3" s="1"/>
  <c r="D10" i="3"/>
  <c r="F10" i="3" s="1"/>
  <c r="G35" i="8" l="1"/>
  <c r="G76" i="8" s="1"/>
  <c r="G17" i="8"/>
  <c r="G8" i="8"/>
  <c r="G66" i="3"/>
  <c r="G39" i="3"/>
  <c r="G31" i="3"/>
  <c r="G18" i="3"/>
  <c r="G8" i="3"/>
  <c r="G83" i="3" l="1"/>
  <c r="F61" i="10"/>
  <c r="F60" i="10"/>
  <c r="F59" i="10"/>
  <c r="G57" i="10"/>
  <c r="D55" i="10"/>
  <c r="F55" i="10" s="1"/>
  <c r="G52" i="10" s="1"/>
  <c r="F54" i="10"/>
  <c r="F50" i="10"/>
  <c r="G48" i="10"/>
  <c r="F46" i="10"/>
  <c r="F45" i="10"/>
  <c r="F44" i="10"/>
  <c r="G42" i="10"/>
  <c r="F40" i="10"/>
  <c r="G38" i="10" s="1"/>
  <c r="F36" i="10"/>
  <c r="D35" i="10"/>
  <c r="F35" i="10" s="1"/>
  <c r="G30" i="10" s="1"/>
  <c r="F34" i="10"/>
  <c r="F33" i="10"/>
  <c r="D27" i="10"/>
  <c r="D28" i="10" s="1"/>
  <c r="F28" i="10" s="1"/>
  <c r="F23" i="10"/>
  <c r="G21" i="10"/>
  <c r="D19" i="10"/>
  <c r="F19" i="10" s="1"/>
  <c r="D18" i="10"/>
  <c r="F18" i="10" s="1"/>
  <c r="G15" i="10" s="1"/>
  <c r="D13" i="10"/>
  <c r="F13" i="10" s="1"/>
  <c r="D12" i="10"/>
  <c r="F12" i="10" s="1"/>
  <c r="F48" i="9"/>
  <c r="G46" i="9"/>
  <c r="F44" i="9"/>
  <c r="D44" i="9"/>
  <c r="F43" i="9"/>
  <c r="G41" i="9"/>
  <c r="F39" i="9"/>
  <c r="G37" i="9"/>
  <c r="F35" i="9"/>
  <c r="G33" i="9"/>
  <c r="F31" i="9"/>
  <c r="G29" i="9"/>
  <c r="D27" i="9"/>
  <c r="F27" i="9" s="1"/>
  <c r="F26" i="9"/>
  <c r="D26" i="9"/>
  <c r="F22" i="9"/>
  <c r="G20" i="9" s="1"/>
  <c r="D18" i="9"/>
  <c r="F18" i="9" s="1"/>
  <c r="D17" i="9"/>
  <c r="F17" i="9" s="1"/>
  <c r="G14" i="9" s="1"/>
  <c r="D12" i="9"/>
  <c r="F12" i="9" s="1"/>
  <c r="G10" i="9" s="1"/>
  <c r="F50" i="7"/>
  <c r="F49" i="7"/>
  <c r="G47" i="7"/>
  <c r="D45" i="7"/>
  <c r="F45" i="7" s="1"/>
  <c r="G42" i="7" s="1"/>
  <c r="F44" i="7"/>
  <c r="F40" i="7"/>
  <c r="G38" i="7"/>
  <c r="F36" i="7"/>
  <c r="G34" i="7"/>
  <c r="F32" i="7"/>
  <c r="G30" i="7"/>
  <c r="F28" i="7"/>
  <c r="D26" i="7"/>
  <c r="D27" i="7" s="1"/>
  <c r="F27" i="7" s="1"/>
  <c r="F22" i="7"/>
  <c r="G20" i="7" s="1"/>
  <c r="D18" i="7"/>
  <c r="F18" i="7" s="1"/>
  <c r="D17" i="7"/>
  <c r="F17" i="7" s="1"/>
  <c r="D12" i="7"/>
  <c r="F12" i="7" s="1"/>
  <c r="G10" i="7" s="1"/>
  <c r="F47" i="6"/>
  <c r="G44" i="6" s="1"/>
  <c r="D47" i="6"/>
  <c r="F46" i="6"/>
  <c r="F42" i="6"/>
  <c r="F41" i="6"/>
  <c r="F40" i="6"/>
  <c r="F36" i="6"/>
  <c r="G34" i="6"/>
  <c r="F32" i="6"/>
  <c r="D31" i="6"/>
  <c r="F31" i="6" s="1"/>
  <c r="G26" i="6" s="1"/>
  <c r="F30" i="6"/>
  <c r="F29" i="6"/>
  <c r="F24" i="6"/>
  <c r="F23" i="6"/>
  <c r="D23" i="6"/>
  <c r="D22" i="6"/>
  <c r="F22" i="6" s="1"/>
  <c r="D18" i="6"/>
  <c r="F18" i="6" s="1"/>
  <c r="D17" i="6"/>
  <c r="F17" i="6" s="1"/>
  <c r="D12" i="6"/>
  <c r="F12" i="6" s="1"/>
  <c r="G10" i="6" s="1"/>
  <c r="F70" i="5"/>
  <c r="F69" i="5"/>
  <c r="F68" i="5"/>
  <c r="G66" i="5"/>
  <c r="D64" i="5"/>
  <c r="F64" i="5" s="1"/>
  <c r="F63" i="5"/>
  <c r="G61" i="5" s="1"/>
  <c r="F59" i="5"/>
  <c r="F58" i="5"/>
  <c r="G56" i="5"/>
  <c r="F54" i="5"/>
  <c r="G52" i="5"/>
  <c r="F50" i="5"/>
  <c r="G48" i="5"/>
  <c r="F46" i="5"/>
  <c r="D45" i="5"/>
  <c r="F45" i="5" s="1"/>
  <c r="G39" i="5" s="1"/>
  <c r="F44" i="5"/>
  <c r="F43" i="5"/>
  <c r="F42" i="5"/>
  <c r="F37" i="5"/>
  <c r="D35" i="5"/>
  <c r="D36" i="5" s="1"/>
  <c r="F36" i="5" s="1"/>
  <c r="F31" i="5"/>
  <c r="D30" i="5"/>
  <c r="F30" i="5" s="1"/>
  <c r="D26" i="5"/>
  <c r="F26" i="5" s="1"/>
  <c r="D25" i="5"/>
  <c r="F25" i="5" s="1"/>
  <c r="D24" i="5"/>
  <c r="F24" i="5" s="1"/>
  <c r="D23" i="5"/>
  <c r="F23" i="5" s="1"/>
  <c r="D21" i="5"/>
  <c r="F21" i="5" s="1"/>
  <c r="D17" i="5"/>
  <c r="F17" i="5" s="1"/>
  <c r="G15" i="5" s="1"/>
  <c r="F13" i="5"/>
  <c r="D13" i="5"/>
  <c r="D12" i="5"/>
  <c r="F12" i="5" s="1"/>
  <c r="F63" i="4"/>
  <c r="F62" i="4"/>
  <c r="F61" i="4"/>
  <c r="F60" i="4"/>
  <c r="G58" i="4" s="1"/>
  <c r="D56" i="4"/>
  <c r="F55" i="4"/>
  <c r="G53" i="4"/>
  <c r="F51" i="4"/>
  <c r="G49" i="4"/>
  <c r="F47" i="4"/>
  <c r="G45" i="4"/>
  <c r="F43" i="4"/>
  <c r="G41" i="4"/>
  <c r="F39" i="4"/>
  <c r="F38" i="4"/>
  <c r="G32" i="4" s="1"/>
  <c r="D38" i="4"/>
  <c r="F37" i="4"/>
  <c r="F36" i="4"/>
  <c r="F35" i="4"/>
  <c r="F30" i="4"/>
  <c r="F29" i="4"/>
  <c r="D27" i="4"/>
  <c r="F27" i="4" s="1"/>
  <c r="F23" i="4"/>
  <c r="G21" i="4" s="1"/>
  <c r="F19" i="4"/>
  <c r="D19" i="4"/>
  <c r="D18" i="4"/>
  <c r="F18" i="4" s="1"/>
  <c r="G15" i="4" s="1"/>
  <c r="D13" i="4"/>
  <c r="F13" i="4" s="1"/>
  <c r="D12" i="4"/>
  <c r="F12" i="4" s="1"/>
  <c r="F62" i="2"/>
  <c r="G60" i="2" s="1"/>
  <c r="F58" i="2"/>
  <c r="F57" i="2"/>
  <c r="G55" i="2"/>
  <c r="D53" i="2"/>
  <c r="F53" i="2" s="1"/>
  <c r="G50" i="2" s="1"/>
  <c r="F52" i="2"/>
  <c r="F48" i="2"/>
  <c r="G46" i="2"/>
  <c r="F44" i="2"/>
  <c r="G42" i="2"/>
  <c r="F40" i="2"/>
  <c r="F39" i="2"/>
  <c r="G33" i="2" s="1"/>
  <c r="D39" i="2"/>
  <c r="F38" i="2"/>
  <c r="F37" i="2"/>
  <c r="F36" i="2"/>
  <c r="F31" i="2"/>
  <c r="D30" i="2"/>
  <c r="F30" i="2" s="1"/>
  <c r="D28" i="2"/>
  <c r="D29" i="2" s="1"/>
  <c r="F29" i="2" s="1"/>
  <c r="F24" i="2"/>
  <c r="G22" i="2" s="1"/>
  <c r="F20" i="2"/>
  <c r="D20" i="2"/>
  <c r="D19" i="2"/>
  <c r="F19" i="2" s="1"/>
  <c r="F14" i="2"/>
  <c r="F13" i="2"/>
  <c r="D12" i="2"/>
  <c r="F12" i="2" s="1"/>
  <c r="G10" i="2" s="1"/>
  <c r="G10" i="10" l="1"/>
  <c r="G24" i="9"/>
  <c r="G50" i="9" s="1"/>
  <c r="G20" i="6"/>
  <c r="G49" i="6" s="1"/>
  <c r="G14" i="6"/>
  <c r="G28" i="5"/>
  <c r="G19" i="5"/>
  <c r="G10" i="5"/>
  <c r="G16" i="2"/>
  <c r="F27" i="10"/>
  <c r="G25" i="10" s="1"/>
  <c r="G63" i="10" s="1"/>
  <c r="G14" i="7"/>
  <c r="F26" i="7"/>
  <c r="G24" i="7" s="1"/>
  <c r="F35" i="5"/>
  <c r="G33" i="5" s="1"/>
  <c r="G10" i="4"/>
  <c r="D28" i="4"/>
  <c r="F28" i="4" s="1"/>
  <c r="G25" i="4" s="1"/>
  <c r="F28" i="2"/>
  <c r="G26" i="2" s="1"/>
  <c r="G64" i="2" s="1"/>
  <c r="G52" i="7" l="1"/>
  <c r="G72" i="5"/>
  <c r="G65" i="4"/>
</calcChain>
</file>

<file path=xl/sharedStrings.xml><?xml version="1.0" encoding="utf-8"?>
<sst xmlns="http://schemas.openxmlformats.org/spreadsheetml/2006/main" count="924" uniqueCount="223">
  <si>
    <t>Vitorina Varela Lopes</t>
  </si>
  <si>
    <t xml:space="preserve">Jassica Gomes das Neves </t>
  </si>
  <si>
    <t>Vaneisa Veiga Souto Amado</t>
  </si>
  <si>
    <t>Patricia Afonso Furtado</t>
  </si>
  <si>
    <t>Teresa Maria Correia Moreira</t>
  </si>
  <si>
    <t>Ana Lurdes da Veiga Correia</t>
  </si>
  <si>
    <t>Isabel Vieira Tavares</t>
  </si>
  <si>
    <t>Elisangela Lopes dos Santos</t>
  </si>
  <si>
    <t>Maria Bernaldeth Correia Sena</t>
  </si>
  <si>
    <t>Beneficiária (o)</t>
  </si>
  <si>
    <t>REQ.</t>
  </si>
  <si>
    <t>LOCAL</t>
  </si>
  <si>
    <t>PONTA D´ ÁGUA - MUNICÍPIO DA PRAIA</t>
  </si>
  <si>
    <t>OBRA</t>
  </si>
  <si>
    <t>PROPR.</t>
  </si>
  <si>
    <t>VITORINA VARELA LOPES</t>
  </si>
  <si>
    <t>Data: OUTUBRO DE 2023</t>
  </si>
  <si>
    <t>Art.</t>
  </si>
  <si>
    <t>Designação</t>
  </si>
  <si>
    <t>Un.</t>
  </si>
  <si>
    <t>Quant.</t>
  </si>
  <si>
    <t>Preço Unitário</t>
  </si>
  <si>
    <t>Importância</t>
  </si>
  <si>
    <t>Designação dos Trabalhos</t>
  </si>
  <si>
    <t>Un</t>
  </si>
  <si>
    <t>Quantid.</t>
  </si>
  <si>
    <t>Por Artigo</t>
  </si>
  <si>
    <t>Por Capítulo</t>
  </si>
  <si>
    <t>CAP I - TRABALHOS PREPARATÓRIOS / DEMOLIÇÃO</t>
  </si>
  <si>
    <t>1.1</t>
  </si>
  <si>
    <r>
      <t xml:space="preserve">Demolição da </t>
    </r>
    <r>
      <rPr>
        <b/>
        <sz val="11"/>
        <rFont val="Times New Roman"/>
        <family val="1"/>
      </rPr>
      <t>laje em betão armado</t>
    </r>
    <r>
      <rPr>
        <sz val="11"/>
        <rFont val="Times New Roman"/>
        <family val="1"/>
      </rPr>
      <t>, incluindo escoramento da estrutura existente, a remoção e transporte de entulho para o vazadouro municipal.</t>
    </r>
  </si>
  <si>
    <r>
      <t>m</t>
    </r>
    <r>
      <rPr>
        <vertAlign val="superscript"/>
        <sz val="11"/>
        <rFont val="Times New Roman"/>
        <family val="1"/>
      </rPr>
      <t>3</t>
    </r>
  </si>
  <si>
    <t>1.2</t>
  </si>
  <si>
    <r>
      <t xml:space="preserve">Remoção de cobertura em </t>
    </r>
    <r>
      <rPr>
        <b/>
        <sz val="11"/>
        <rFont val="Times New Roman"/>
        <family val="1"/>
      </rPr>
      <t>chapa metálica</t>
    </r>
    <r>
      <rPr>
        <sz val="11"/>
        <rFont val="Times New Roman"/>
        <family val="1"/>
      </rPr>
      <t xml:space="preserve"> incluindo escoramento da estrutura existente, a remoção e transporte de entulho para o vazadouro municipal. </t>
    </r>
  </si>
  <si>
    <r>
      <t>m</t>
    </r>
    <r>
      <rPr>
        <vertAlign val="superscript"/>
        <sz val="11"/>
        <rFont val="Times New Roman"/>
        <family val="1"/>
      </rPr>
      <t>2</t>
    </r>
    <r>
      <rPr>
        <sz val="11"/>
        <color theme="1"/>
        <rFont val="Calibri"/>
        <family val="2"/>
        <scheme val="minor"/>
      </rPr>
      <t/>
    </r>
  </si>
  <si>
    <t>1.3</t>
  </si>
  <si>
    <t>Demolição caixa escada, incluindo escoramento da estrutura existente, a remoção e transporte de entulho para o vazadouro municipal.</t>
  </si>
  <si>
    <t>CAP II - ESTRUTURAS DE BETÃO</t>
  </si>
  <si>
    <t>2.1</t>
  </si>
  <si>
    <t>Fornecimento e aplicação de betão C25/30 (B30), S3 em elementos estruturais, incluindo armadura em aço A500NR e cofragem mista de madeira e metálica, uso de vibrador de agulha, testes, todos os trabalhos e acessórios complementares, correta aplicação da sua desmontagem e cura:</t>
  </si>
  <si>
    <t>2.1.1</t>
  </si>
  <si>
    <t>Vigas</t>
  </si>
  <si>
    <t>2.1.2</t>
  </si>
  <si>
    <t>Lajes Maciças</t>
  </si>
  <si>
    <t xml:space="preserve">CAP III - ALVENARIA </t>
  </si>
  <si>
    <t>3.1</t>
  </si>
  <si>
    <r>
      <t>Reestabelecimento do Pé-direito após demolição de elementos estruturais mediante a execução de alvenarias em blocos (20x</t>
    </r>
    <r>
      <rPr>
        <b/>
        <sz val="11"/>
        <rFont val="Calibri"/>
        <family val="2"/>
        <scheme val="minor"/>
      </rPr>
      <t>20</t>
    </r>
    <r>
      <rPr>
        <sz val="11"/>
        <rFont val="Calibri"/>
        <family val="2"/>
        <scheme val="minor"/>
      </rPr>
      <t>x40 cm) de betão, assentes com argamassa de cimento e areia ao traço 1:4, incluindo todos os trabalhos e acessórios complementares.</t>
    </r>
  </si>
  <si>
    <t xml:space="preserve">CAP IV - REVESTIMENTO </t>
  </si>
  <si>
    <t>4.1</t>
  </si>
  <si>
    <t>Fornecimento e execução de salpico e reboco de paredes interiores e exteriores com argamassa de cimento e areia ao traço de 1:4 incluíndo execução de arestas e todos os trabalhos e meios necessários para sua boa execução.</t>
  </si>
  <si>
    <t>4.2</t>
  </si>
  <si>
    <t>Pintura  interior e exterior com duas demãos de tintas de água Contrato incluindo barração.</t>
  </si>
  <si>
    <t>4.3</t>
  </si>
  <si>
    <t>Pintura  Teto com duas demãos de tintas de água Contrato incluindo barração.</t>
  </si>
  <si>
    <t>4.4</t>
  </si>
  <si>
    <t>Fornecimento e execução de betonilha afagada, ao traço 1:3:5, com 5cm de espessura sobre os pavimentos de betão, incluindo todos os trabalhos complementares.</t>
  </si>
  <si>
    <t>CAP V -INSTALAÇÃO SANITÁRIA (WC)</t>
  </si>
  <si>
    <t>5.1</t>
  </si>
  <si>
    <t xml:space="preserve">Equipamentos Sanitários incluindo </t>
  </si>
  <si>
    <t>5.1.1</t>
  </si>
  <si>
    <t>Fornecimento e assentamento de lavatórios, incluindo torneiras, prever todos os acessórios de fixação, ligações a rede de água e esgoto, assim como o respectivo ensaio de modo a funcionar nas perfeitas condições.</t>
  </si>
  <si>
    <t>un</t>
  </si>
  <si>
    <t>5.1.2</t>
  </si>
  <si>
    <t>Fornecimento e assentamento de sanita, incluindo autoclismo, prever todos os acessórios de fixação, ligações a rede de água e esgoto, assim como o respectivo ensaio de modo a funcionar nas perfeitas condições.</t>
  </si>
  <si>
    <t>5.1.3</t>
  </si>
  <si>
    <t>Fornecimento e assentamento de base de duche, prever todos os acessórios de fixação, ligações a rede de água e esgoto, assim como o respectivo ensaio de modo a funcionar nas perfeitas condições.</t>
  </si>
  <si>
    <t>5.1.4</t>
  </si>
  <si>
    <t>Fornecimento e assentamento de azulejo, cor a definir com 30x30cm, prever assentamento com cimento-cola, após a secagem da base, cortes remates e betumes</t>
  </si>
  <si>
    <t>5.1.5</t>
  </si>
  <si>
    <t>Fornecimento e assentamento de mosaico antederrapante, assentamento com cimento-cola, após a secagem da base, cortes remates e betumes.</t>
  </si>
  <si>
    <t>CAP VI - ELETRICIDADE</t>
  </si>
  <si>
    <t>6.1</t>
  </si>
  <si>
    <t>Reposição e instalação de tubagens e fios em
lajes para pontos de iluminação e acesso a
rede, incluinto todos os trabalhos e acessórios complementares</t>
  </si>
  <si>
    <t>vg</t>
  </si>
  <si>
    <t xml:space="preserve">CAP VII - REDE DE ÁGUA </t>
  </si>
  <si>
    <t>7.1</t>
  </si>
  <si>
    <t>Fornecimento e instalação de rede de água, incluindo os acessórios, ligações e todos os trabalhos acessórios necessários para o seu bom funcionamento.</t>
  </si>
  <si>
    <t>CAP VIII - COZINHA</t>
  </si>
  <si>
    <t>8.1</t>
  </si>
  <si>
    <r>
      <t xml:space="preserve">Fornecimento de bancada de cozinha (executada com tampa betão á vista e laterais em parede de 10 cm de espessura), lava loiças (1 cuba), incluindo os seus acessórios, </t>
    </r>
    <r>
      <rPr>
        <b/>
        <sz val="11"/>
        <rFont val="Times New Roman"/>
        <family val="1"/>
      </rPr>
      <t>conforme o projeto de arquitetura.</t>
    </r>
  </si>
  <si>
    <t>8.2</t>
  </si>
  <si>
    <t>CAP IX - CARPINTARIA</t>
  </si>
  <si>
    <t>9.1</t>
  </si>
  <si>
    <t>Fornecimento e colocação de Porta (210*70),  todos os trabalhos acessórios e complementares.</t>
  </si>
  <si>
    <t>9.2</t>
  </si>
  <si>
    <t>Fornecimento e colocação de janelas (100*65),  todos os trabalhos acessórios e complementares.</t>
  </si>
  <si>
    <t>CAP X - CLARABÓIA</t>
  </si>
  <si>
    <t>10.1</t>
  </si>
  <si>
    <t xml:space="preserve">Execução de claraboia retangular de secção com dimensões equivalentes á abertura na laje / saguão. Com cobertura de telha translucida (polipropereno) e base em alvenaria de bloco, em conformidade com o projeto de arquitetura. Incluindo todos os trabalhos e acessórios necessários ao seu perfeito funcionamento e acabamento final. </t>
  </si>
  <si>
    <t>TOTAL GERAL:</t>
  </si>
  <si>
    <t>PONTA D'ÁGUA - MUNICÍPIO DA PRAIA</t>
  </si>
  <si>
    <t>VANEISA VEIGA SOUTO AMADO</t>
  </si>
  <si>
    <r>
      <t>Demolição de</t>
    </r>
    <r>
      <rPr>
        <b/>
        <sz val="11"/>
        <rFont val="Times New Roman"/>
        <family val="1"/>
      </rPr>
      <t xml:space="preserve"> parede de bloco</t>
    </r>
    <r>
      <rPr>
        <sz val="11"/>
        <rFont val="Times New Roman"/>
        <family val="1"/>
      </rPr>
      <t xml:space="preserve"> existente, incluindo escoramento da estrutura existente, a remoção e transporte de entulho para o vazadouro municipal.</t>
    </r>
  </si>
  <si>
    <t>CAP VIII - REDE DE ESGOTO</t>
  </si>
  <si>
    <t>Fornecimento e instalação de rede de esgotos , incluindo tubagens PVC, abertura e tapamento de roços, acessórios, ligações e todos os trabalhos acessórios necessários para o seu bom funcionamento.</t>
  </si>
  <si>
    <t>CAP IX - COZINHA</t>
  </si>
  <si>
    <t>Fornecimento e colocação de Porta (210*75),  todos os trabalhos acessórios e complementares.</t>
  </si>
  <si>
    <t>Fornecimento e colocação de Porta (210*100),  todos os trabalhos acessórios e complementares.</t>
  </si>
  <si>
    <t>Fornecimento e colocação de Porta (210*95),  todos os trabalhos acessórios e complementares.</t>
  </si>
  <si>
    <t>10.2</t>
  </si>
  <si>
    <t>Fornecimento e colocação de janelas (100*52),  todos os trabalhos acessórios e complementares.</t>
  </si>
  <si>
    <t>PATRICIA AFONSO FURTADO</t>
  </si>
  <si>
    <t>CAP II - TERRAPLENAGEM / ESCAVAÇÃO</t>
  </si>
  <si>
    <t>Escavação de terreno de qualquer natureza para execução de fundações 0.80 de largura, incluíndo remoção e transporte de material sobrante.</t>
  </si>
  <si>
    <t>CAP III - ESTRUTURAS DE BETÃO</t>
  </si>
  <si>
    <t>Fornecimento e colocação de betão de limpeza com 0,05 m de espessura incluindo todos os trabalhos e meios necessários para sua boa execução:</t>
  </si>
  <si>
    <t>3.2</t>
  </si>
  <si>
    <t>3.2.1</t>
  </si>
  <si>
    <t>Sapatas</t>
  </si>
  <si>
    <t>3.2.2</t>
  </si>
  <si>
    <t>Pilares</t>
  </si>
  <si>
    <t>3.2.3</t>
  </si>
  <si>
    <t>3.2.4</t>
  </si>
  <si>
    <t xml:space="preserve">CAP IV - ALVENARIA </t>
  </si>
  <si>
    <t>Execução de alvenarias em blocos (20x20x40 cm)  de betão, assentes com argamassa de cimento e areia ao traço 1:4, incluindo todos os trabalhos e acessórios complementares, com as dimensões:</t>
  </si>
  <si>
    <t xml:space="preserve">CAP V - REVESTIMENTO </t>
  </si>
  <si>
    <t>5.2</t>
  </si>
  <si>
    <t>5.4</t>
  </si>
  <si>
    <t>CAP VI -INSTALAÇÃO SANITÁRIA (WC)</t>
  </si>
  <si>
    <t>6.1.1</t>
  </si>
  <si>
    <t>6.1.2</t>
  </si>
  <si>
    <t>6.1.3</t>
  </si>
  <si>
    <t>6.1.4</t>
  </si>
  <si>
    <t>6.1.5</t>
  </si>
  <si>
    <t>CAP VII - ELETRICIDADE</t>
  </si>
  <si>
    <t xml:space="preserve">CAP VIII - REDE DE ÁGUA </t>
  </si>
  <si>
    <t>CAP IX - REDE DE ESGOTO</t>
  </si>
  <si>
    <r>
      <t xml:space="preserve">Execução da </t>
    </r>
    <r>
      <rPr>
        <b/>
        <sz val="11"/>
        <rFont val="Calibri"/>
        <family val="2"/>
        <scheme val="minor"/>
      </rPr>
      <t>fossa séptica (incluindo Poço Absorvente)</t>
    </r>
    <r>
      <rPr>
        <sz val="11"/>
        <rFont val="Calibri"/>
        <family val="2"/>
        <scheme val="minor"/>
      </rPr>
      <t xml:space="preserve"> em betão ciclópico e tampa em betão armado incluindo todos os trabalhos acessórios e complementares.</t>
    </r>
  </si>
  <si>
    <t>CAP X - COZINHA</t>
  </si>
  <si>
    <t>CAP XI - CARPINTARIA</t>
  </si>
  <si>
    <t>11.1</t>
  </si>
  <si>
    <t>11.2</t>
  </si>
  <si>
    <t>Fornecimento e colocação de janelas (110*1,33),  todos os trabalhos acessórios e complementares.</t>
  </si>
  <si>
    <t>11.3</t>
  </si>
  <si>
    <t>Fornecimento e colocação de janelas (110*110),  todos os trabalhos acessórios e complementares.</t>
  </si>
  <si>
    <t>TERESA MARIA CORREIA MOREIRA</t>
  </si>
  <si>
    <t xml:space="preserve">CAP III - REVESTIMENTO </t>
  </si>
  <si>
    <t>3.3</t>
  </si>
  <si>
    <t>CAP IV -INSTALAÇÃO SANITÁRIA (WC)</t>
  </si>
  <si>
    <t>CAP V - ELETRICIDADE</t>
  </si>
  <si>
    <t xml:space="preserve">CAP VI - REDE DE ÁGUA </t>
  </si>
  <si>
    <r>
      <t xml:space="preserve">Fornecimento e instalação de rede de água para </t>
    </r>
    <r>
      <rPr>
        <b/>
        <sz val="11"/>
        <rFont val="Calibri"/>
        <family val="2"/>
        <scheme val="minor"/>
      </rPr>
      <t>Lavatório</t>
    </r>
    <r>
      <rPr>
        <sz val="11"/>
        <rFont val="Calibri"/>
        <family val="2"/>
        <scheme val="minor"/>
      </rPr>
      <t>, incluindo os acessórios, ligações e todos os trabalhos acessórios necessários para o seu bom funcionamento.</t>
    </r>
  </si>
  <si>
    <t>6.2</t>
  </si>
  <si>
    <r>
      <t xml:space="preserve">Fornecimento e instalação de rede de água para </t>
    </r>
    <r>
      <rPr>
        <b/>
        <sz val="11"/>
        <rFont val="Calibri"/>
        <family val="2"/>
        <scheme val="minor"/>
      </rPr>
      <t>Sanita</t>
    </r>
    <r>
      <rPr>
        <sz val="11"/>
        <rFont val="Calibri"/>
        <family val="2"/>
        <scheme val="minor"/>
      </rPr>
      <t>, incluindo os acessórios, ligações e todos os trabalhos acessórios necessários para o seu bom funcionamento.</t>
    </r>
  </si>
  <si>
    <t>6.3</t>
  </si>
  <si>
    <r>
      <t xml:space="preserve">Fornecimento e instalação de rede de água para </t>
    </r>
    <r>
      <rPr>
        <b/>
        <sz val="11"/>
        <rFont val="Calibri"/>
        <family val="2"/>
        <scheme val="minor"/>
      </rPr>
      <t>Lava Loiças</t>
    </r>
    <r>
      <rPr>
        <sz val="11"/>
        <rFont val="Calibri"/>
        <family val="2"/>
        <scheme val="minor"/>
      </rPr>
      <t>, incluindo os acessórios, ligações e todos os trabalhos acessórios necessários para o seu bom funcionamento.</t>
    </r>
  </si>
  <si>
    <t>CAP VII - COZINHA</t>
  </si>
  <si>
    <t>7.2</t>
  </si>
  <si>
    <t>ANA LURDES DA VEIGA CORREIA</t>
  </si>
  <si>
    <t>CAP VII - REDE DE ESGOTO</t>
  </si>
  <si>
    <t>Fornecimento e colocação de Porta (210*80),  todos os trabalhos acessórios e complementares.</t>
  </si>
  <si>
    <t>Fornecimento e colocação de janelas (110*81),  todos os trabalhos acessórios e complementares.</t>
  </si>
  <si>
    <t>ELIZANGELA LOPES DOS SANTOS</t>
  </si>
  <si>
    <t>Pintura  de faixada frontal e lateral com duas demãos de tintas de água Contrato incluindo barração.</t>
  </si>
  <si>
    <t xml:space="preserve">CAP IX - CAIXILHARIA (Reabilitação) </t>
  </si>
  <si>
    <t>Reparação de caixilharia exterior de madeira, através da correção de desenquadramentos e substituição de ferragens deterioradas. Incluindo reposição de revestimentos e pinturas.</t>
  </si>
  <si>
    <t>PONTA D' ÁGUA - MUNICÍPIO DA PRAIA</t>
  </si>
  <si>
    <t>MARIA BERNALDETH CORREIA SENA</t>
  </si>
  <si>
    <r>
      <t xml:space="preserve">Fornecimento e instalação de rede de água para </t>
    </r>
    <r>
      <rPr>
        <b/>
        <sz val="11"/>
        <rFont val="Calibri"/>
        <family val="2"/>
        <scheme val="minor"/>
      </rPr>
      <t>Duche</t>
    </r>
    <r>
      <rPr>
        <sz val="11"/>
        <rFont val="Calibri"/>
        <family val="2"/>
        <scheme val="minor"/>
      </rPr>
      <t>, incluindo os acessórios, ligações e todos os trabalhos acessórios necessários para o seu bom funcionamento.</t>
    </r>
  </si>
  <si>
    <t>7.3</t>
  </si>
  <si>
    <t>Fornecimento e colocação de Porta (210*78),  todos os trabalhos acessórios e complementares.</t>
  </si>
  <si>
    <t>Fornecimento e colocação de janelas (110*86),  todos os trabalhos acessórios e complementares.</t>
  </si>
  <si>
    <t>10.3</t>
  </si>
  <si>
    <t>JASSICA GOMES DAS NEVES</t>
  </si>
  <si>
    <r>
      <t>Demolição de</t>
    </r>
    <r>
      <rPr>
        <b/>
        <sz val="10"/>
        <rFont val="Calibri"/>
        <family val="2"/>
        <scheme val="minor"/>
      </rPr>
      <t xml:space="preserve"> parede de bloco</t>
    </r>
    <r>
      <rPr>
        <sz val="10"/>
        <rFont val="Calibri"/>
        <family val="2"/>
        <scheme val="minor"/>
      </rPr>
      <t xml:space="preserve"> existente, incluindo escoramento da estrutura existente, a remoção e transporte de entulho para o vazadouro municipal.</t>
    </r>
  </si>
  <si>
    <r>
      <t>m</t>
    </r>
    <r>
      <rPr>
        <vertAlign val="superscript"/>
        <sz val="1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</si>
  <si>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 xml:space="preserve">Remoção de cobertura em </t>
    </r>
    <r>
      <rPr>
        <b/>
        <sz val="10"/>
        <rFont val="Calibri"/>
        <family val="2"/>
        <scheme val="minor"/>
      </rPr>
      <t xml:space="preserve">chapa metálica </t>
    </r>
    <r>
      <rPr>
        <sz val="10"/>
        <rFont val="Calibri"/>
        <family val="2"/>
        <scheme val="minor"/>
      </rPr>
      <t>incluindo escoramento da estrutura existente, a remoção e transporte de entulho para o vazadouro municipal.</t>
    </r>
  </si>
  <si>
    <r>
      <t xml:space="preserve">Demolição de laje em </t>
    </r>
    <r>
      <rPr>
        <b/>
        <sz val="10"/>
        <rFont val="Calibri"/>
        <family val="2"/>
        <scheme val="minor"/>
      </rPr>
      <t>betão armado</t>
    </r>
    <r>
      <rPr>
        <sz val="10"/>
        <rFont val="Calibri"/>
        <family val="2"/>
        <scheme val="minor"/>
      </rPr>
      <t>, incluindo escoramento da estrutura existente, a remoção e transporte de entulho para o vazadouro municipal.</t>
    </r>
  </si>
  <si>
    <r>
      <t>m</t>
    </r>
    <r>
      <rPr>
        <vertAlign val="superscript"/>
        <sz val="10"/>
        <rFont val="Calibri"/>
        <family val="2"/>
        <scheme val="minor"/>
      </rPr>
      <t>3</t>
    </r>
  </si>
  <si>
    <t>Escavação de terreno de qualquer natureza para execução de fundação 0.80 de largura, incluindo remoção e transporte de material sobrante</t>
  </si>
  <si>
    <t>Fornecimento e colocação de Betão de limpeza, incluindo todos os trabalhos e meios necessários para a sua boa execução.</t>
  </si>
  <si>
    <t>Reestabelecimento do Pé-direito após demolição de elementos estruturais mediante a execução de alvenarias em blocos (20x20x40 cm) de betão, assentes com argamassa de cimento e areia ao traço 1:4, incluindo todos os trabalhos e acessórios complementares.</t>
  </si>
  <si>
    <r>
      <t xml:space="preserve">Fornecimento e execução de salpico e </t>
    </r>
    <r>
      <rPr>
        <b/>
        <sz val="10"/>
        <rFont val="Calibri"/>
        <family val="2"/>
        <scheme val="minor"/>
      </rPr>
      <t>reboco de paredes exteriores</t>
    </r>
    <r>
      <rPr>
        <sz val="10"/>
        <rFont val="Calibri"/>
        <family val="2"/>
        <scheme val="minor"/>
      </rPr>
      <t xml:space="preserve"> com argamassa de cimento e areia ao traço de 1:4 incluíndo execução de arestas e todos os trabalhos e meios necessários para sua boa execução.</t>
    </r>
  </si>
  <si>
    <r>
      <t xml:space="preserve">Fornecimento e execução de salpico e </t>
    </r>
    <r>
      <rPr>
        <b/>
        <sz val="10"/>
        <rFont val="Calibri"/>
        <family val="2"/>
        <scheme val="minor"/>
      </rPr>
      <t>reboco de paredes interiores</t>
    </r>
    <r>
      <rPr>
        <sz val="10"/>
        <rFont val="Calibri"/>
        <family val="2"/>
        <scheme val="minor"/>
      </rPr>
      <t xml:space="preserve"> com argamassa de cimento e areia ao traço de 1:4 incluíndo execução de arestas e todos os trabalhos e meios necessários para sua boa execução.</t>
    </r>
  </si>
  <si>
    <t>5.3</t>
  </si>
  <si>
    <r>
      <rPr>
        <b/>
        <sz val="10"/>
        <rFont val="Calibri"/>
        <family val="2"/>
        <scheme val="minor"/>
      </rPr>
      <t>Pintura exterior</t>
    </r>
    <r>
      <rPr>
        <sz val="10"/>
        <rFont val="Calibri"/>
        <family val="2"/>
        <scheme val="minor"/>
      </rPr>
      <t xml:space="preserve"> com duas demãos de tintas de água Contrato incluindo barração.</t>
    </r>
  </si>
  <si>
    <r>
      <rPr>
        <b/>
        <sz val="10"/>
        <rFont val="Calibri"/>
        <family val="2"/>
        <scheme val="minor"/>
      </rPr>
      <t>Pintura interior</t>
    </r>
    <r>
      <rPr>
        <sz val="10"/>
        <rFont val="Calibri"/>
        <family val="2"/>
        <scheme val="minor"/>
      </rPr>
      <t xml:space="preserve"> com duas demãos de tintas de água Contrato incluindo barração.</t>
    </r>
  </si>
  <si>
    <t>5.5</t>
  </si>
  <si>
    <t>CAP VI - INSTALAÇÃO SANITÁRIA (WC)</t>
  </si>
  <si>
    <t>Revestimentos</t>
  </si>
  <si>
    <t>6.2.1</t>
  </si>
  <si>
    <t xml:space="preserve">un </t>
  </si>
  <si>
    <t>6.2.2</t>
  </si>
  <si>
    <t>6.2.3</t>
  </si>
  <si>
    <t>Fornecimento e assentamento de base de duche de pavimento, prever todos os acessórios de fixação, ligações a rede de água e esgoto, assim como o respectivo ensaio de modo a funcionar nas perfeitas condições.</t>
  </si>
  <si>
    <t>Reposição e instalação de tubagens e fios em
lajes para pontos de iluminação e acesso a
rede, incluindo todos os trabalhos e acessórios complementares</t>
  </si>
  <si>
    <t>CAP VIII - REDE DE ÁGUA</t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</si>
  <si>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>Lavatório, Sanita e Duche</t>
    </r>
    <r>
      <rPr>
        <sz val="10"/>
        <rFont val="Calibri"/>
        <family val="2"/>
        <scheme val="minor"/>
      </rPr>
      <t xml:space="preserve"> incluindo os acessórios, ligações e todos os trabalhos acessórios necessários para o seu bom funcionamento.</t>
    </r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</si>
  <si>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>Lava Loiças</t>
    </r>
    <r>
      <rPr>
        <sz val="10"/>
        <rFont val="Calibri"/>
        <family val="2"/>
        <scheme val="minor"/>
      </rPr>
      <t>, incluindo os acessórios, ligações e todos os trabalhos acessórios necessários para o seu bom funcionamento.</t>
    </r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</si>
  <si>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Lavatório e Duche</t>
    </r>
    <r>
      <rPr>
        <sz val="10"/>
        <rFont val="Calibri"/>
        <family val="2"/>
        <scheme val="minor"/>
      </rPr>
      <t xml:space="preserve"> incluindo tubagens de PVC, abertura e tapamento de roços, acessórios, ligações e todos os trabalhos acessórios necessários para o seu bom funcionamento.</t>
    </r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</si>
  <si>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Sanita</t>
    </r>
    <r>
      <rPr>
        <sz val="10"/>
        <rFont val="Calibri"/>
        <family val="2"/>
        <scheme val="minor"/>
      </rPr>
      <t>, incluindo tubagens de PVC, abertura e tapamento de roços, acessórios, ligações e todos os trabalhos acessórios necessários para o seu bom funcionamento.</t>
    </r>
  </si>
  <si>
    <t>9.3</t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</si>
  <si>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Lava Loiças</t>
    </r>
    <r>
      <rPr>
        <sz val="10"/>
        <rFont val="Calibri"/>
        <family val="2"/>
        <scheme val="minor"/>
      </rPr>
      <t>, incluindo tubagens de PVC, abertura e tapamento de roços, acessórios, ligações e todos os trabalhos acessórios necessários para o seu bom funcionamento.</t>
    </r>
  </si>
  <si>
    <r>
      <t xml:space="preserve">Fornecimento de bancada de cozinha (executada com tampa betão á vista e laterais em parede de 10 cm de espessura), lava loiças (1 cuba), incluindo os seus acessórios, </t>
    </r>
    <r>
      <rPr>
        <b/>
        <sz val="10"/>
        <rFont val="Calibri"/>
        <family val="2"/>
        <scheme val="minor"/>
      </rPr>
      <t>conforme o projeto de arquitetura.</t>
    </r>
  </si>
  <si>
    <t>Fornecimento e colocação de Porta (0.74*2.0),  todos os trabalhos acessórios e complementares.</t>
  </si>
  <si>
    <t>Fornecimento e colocação de Porta (0.75*2.0),  todos os trabalhos acessórios e complementares.</t>
  </si>
  <si>
    <t>Fornecimento e colocação de Porta (0.76*2.0),  todos os trabalhos acessórios e complementares.</t>
  </si>
  <si>
    <t>11.4</t>
  </si>
  <si>
    <t>11.5</t>
  </si>
  <si>
    <t>Fornecimento e colocação de janela (1.36*1.0),  todos os trabalhos acessórios e complementares.</t>
  </si>
  <si>
    <t>CAP XII - ENVOLVENTE</t>
  </si>
  <si>
    <t>12.1</t>
  </si>
  <si>
    <t>Fornecimento e plantação de árvore menor de 14 cm de perímetro de tronco a 1 m do solo, com meios manuais, em terreno arenoso, em cova de 60x60x60 cm.</t>
  </si>
  <si>
    <t>ISABEL VIEIRA TAVARES</t>
  </si>
  <si>
    <t>CAP XI - REABILITAÇÃO DE VÃOS</t>
  </si>
  <si>
    <t>Reparação de Porta (0.72*2.10), através da correção de desenquadramentos e substituição de ferragens deterioradas. Incluindo reposição de revestimentos e pinturas.</t>
  </si>
  <si>
    <t>Reparação de Porta (0.80*2.10), através da correção de desenquadramentos e substituição de ferragens deterioradas. Incluindo reposição de revestimentos e pinturas.</t>
  </si>
  <si>
    <t>Reparação de Porta (0.87*2.10), através da correção de desenquadramentos e substituição de ferragens deterioradas. Incluindo reposição de revestimentos e pinturas.</t>
  </si>
  <si>
    <t>Reparação de Janela (0.46*1.0), através da correção de desenquadramentos e substituição de ferragens deterioradas. Incluindo reposição de revestimentos e pinturas.</t>
  </si>
  <si>
    <t>Reparação de Janela (0.92*1.0), através da correção de desenquadramentos e substituição de ferragens deterioradas. Incluindo reposição de revestimentos e pinturas.</t>
  </si>
  <si>
    <t>11.6</t>
  </si>
  <si>
    <t>Reparação de Janela (1.25*1.0), através da correção de desenquadramentos e substituição de ferragens deterioradas. Incluindo reposição de revestimentos e pinturas.</t>
  </si>
  <si>
    <t>11.7</t>
  </si>
  <si>
    <t>Reparação de Janela (1.30*1.0), através da correção de desenquadramentos e substituição de ferragens deterioradas. Incluindo reposição de revestimentos e pinturas.</t>
  </si>
  <si>
    <t>CAP XII - CARPINTARIA</t>
  </si>
  <si>
    <t xml:space="preserve">Fornecimento e colocação de Porta (0.62*2.10) e todos os trabalhos acessórios necessários para o seu bom funcionamento. </t>
  </si>
  <si>
    <t>12.2</t>
  </si>
  <si>
    <t xml:space="preserve">Fornecimento e colocação de Porta (0.8*2.10) e todos os trabalhos acessórios necessários para o seu bom funcionamento. </t>
  </si>
  <si>
    <t>12.3</t>
  </si>
  <si>
    <t xml:space="preserve">Fornecimento e colocação de Janela (0.8*2.10) e todos os trabalhos acessórios necessários para o seu bom funcionamento. </t>
  </si>
  <si>
    <t>Nº</t>
  </si>
  <si>
    <t xml:space="preserve">CAP 0 - ESTALEIRO </t>
  </si>
  <si>
    <r>
      <t xml:space="preserve">Implantação das medidas previstas no Plano de Gestão Ambietal e Social (PGAS) patenteado e conforme PSS da obra, incluído a fixação da placa de obra. Tudo de modo a salvaguardar as condições de higiene, salubridade e segurança no trabalho, cumprindo o previsto nos regulamentos e normas de segurança no trabalho e nos Cadernos de Encargos. Sinalização de cada obra, com paneis , fitas sinalizadoras ou material similar de forma a garantir a máxima segurança na obra.                                                                                                                                                                                   </t>
    </r>
    <r>
      <rPr>
        <b/>
        <sz val="10"/>
        <rFont val="Calibri"/>
        <family val="2"/>
        <scheme val="minor"/>
      </rPr>
      <t>NOTA:</t>
    </r>
    <r>
      <rPr>
        <sz val="10"/>
        <rFont val="Calibri"/>
        <family val="2"/>
        <scheme val="minor"/>
      </rPr>
      <t xml:space="preserve"> O estaleiro da obra é considerado o estaleiro central do Concorrente/Firma.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</si>
</sst>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&quot;​&quot;_-;\-* #,##0.00\ &quot;​&quot;_-;_-* &quot;-&quot;??\ &quot;​&quot;_-;_-@_-"/>
    <numFmt numFmtId="165" formatCode="_-* #,##0.00\ _€_-;\-* #,##0.00\ _€_-;_-* &quot;-&quot;??\ _€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  <charset val="1"/>
    </font>
    <font>
      <sz val="10"/>
      <name val="Calibri"/>
      <family val="2"/>
      <scheme val="minor"/>
    </font>
    <font>
      <sz val="8"/>
      <name val="Arial Narrow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1"/>
      <name val="Calibri"/>
      <family val="2"/>
      <scheme val="minor"/>
    </font>
    <font>
      <b/>
      <u/>
      <sz val="11"/>
      <name val="Times New Roman"/>
      <family val="1"/>
    </font>
    <font>
      <vertAlign val="superscript"/>
      <sz val="10"/>
      <name val="Calibri"/>
      <family val="2"/>
      <scheme val="minor"/>
    </font>
    <font>
      <b/>
      <sz val="10"/>
      <name val="Calibri "/>
    </font>
    <font>
      <sz val="8"/>
      <name val="Calibri "/>
    </font>
    <font>
      <sz val="10"/>
      <name val="Calibri "/>
    </font>
    <font>
      <sz val="11"/>
      <color theme="1"/>
      <name val="Calibri 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35" xfId="0" applyFont="1" applyBorder="1" applyAlignment="1">
      <alignment vertical="center"/>
    </xf>
    <xf numFmtId="49" fontId="5" fillId="0" borderId="36" xfId="1" applyNumberFormat="1" applyFont="1" applyBorder="1" applyAlignment="1">
      <alignment vertical="center"/>
    </xf>
    <xf numFmtId="49" fontId="5" fillId="0" borderId="32" xfId="1" applyNumberFormat="1" applyFont="1" applyBorder="1" applyAlignment="1">
      <alignment vertical="center"/>
    </xf>
    <xf numFmtId="164" fontId="5" fillId="0" borderId="32" xfId="1" applyNumberFormat="1" applyFont="1" applyBorder="1" applyAlignment="1">
      <alignment vertical="center"/>
    </xf>
    <xf numFmtId="49" fontId="5" fillId="0" borderId="37" xfId="1" applyNumberFormat="1" applyFont="1" applyBorder="1" applyAlignment="1">
      <alignment vertical="center"/>
    </xf>
    <xf numFmtId="49" fontId="5" fillId="0" borderId="44" xfId="1" applyNumberFormat="1" applyFont="1" applyBorder="1" applyAlignment="1">
      <alignment horizontal="center" vertical="center"/>
    </xf>
    <xf numFmtId="0" fontId="5" fillId="0" borderId="45" xfId="1" applyFont="1" applyBorder="1" applyAlignment="1">
      <alignment horizontal="left" vertical="center" wrapText="1"/>
    </xf>
    <xf numFmtId="0" fontId="5" fillId="0" borderId="45" xfId="0" applyFont="1" applyBorder="1" applyAlignment="1">
      <alignment horizontal="center" vertical="center"/>
    </xf>
    <xf numFmtId="4" fontId="5" fillId="0" borderId="45" xfId="1" applyNumberFormat="1" applyFont="1" applyBorder="1" applyAlignment="1">
      <alignment horizontal="center" vertical="center"/>
    </xf>
    <xf numFmtId="164" fontId="5" fillId="0" borderId="45" xfId="0" applyNumberFormat="1" applyFont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164" fontId="2" fillId="0" borderId="42" xfId="0" applyNumberFormat="1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4" fontId="5" fillId="0" borderId="15" xfId="0" applyNumberFormat="1" applyFont="1" applyBorder="1" applyAlignment="1">
      <alignment horizontal="center" vertical="center"/>
    </xf>
    <xf numFmtId="4" fontId="5" fillId="0" borderId="15" xfId="1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5" fillId="0" borderId="16" xfId="0" applyFont="1" applyBorder="1"/>
    <xf numFmtId="49" fontId="5" fillId="0" borderId="14" xfId="1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5" fillId="0" borderId="44" xfId="1" applyNumberFormat="1" applyFont="1" applyBorder="1" applyAlignment="1">
      <alignment vertical="center"/>
    </xf>
    <xf numFmtId="49" fontId="2" fillId="0" borderId="45" xfId="1" applyNumberFormat="1" applyFont="1" applyBorder="1" applyAlignment="1">
      <alignment vertical="center"/>
    </xf>
    <xf numFmtId="164" fontId="2" fillId="0" borderId="45" xfId="1" applyNumberFormat="1" applyFont="1" applyBorder="1" applyAlignment="1">
      <alignment vertical="center"/>
    </xf>
    <xf numFmtId="49" fontId="2" fillId="0" borderId="46" xfId="1" applyNumberFormat="1" applyFont="1" applyBorder="1" applyAlignment="1">
      <alignment vertical="center"/>
    </xf>
    <xf numFmtId="49" fontId="5" fillId="0" borderId="41" xfId="0" applyNumberFormat="1" applyFont="1" applyBorder="1" applyAlignment="1">
      <alignment horizontal="center" vertical="center"/>
    </xf>
    <xf numFmtId="49" fontId="5" fillId="0" borderId="42" xfId="0" applyNumberFormat="1" applyFont="1" applyBorder="1" applyAlignment="1">
      <alignment horizontal="left" vertical="center" wrapText="1"/>
    </xf>
    <xf numFmtId="4" fontId="5" fillId="0" borderId="42" xfId="1" applyNumberFormat="1" applyFont="1" applyBorder="1" applyAlignment="1">
      <alignment horizontal="center" vertical="center"/>
    </xf>
    <xf numFmtId="164" fontId="5" fillId="0" borderId="42" xfId="0" applyNumberFormat="1" applyFont="1" applyBorder="1" applyAlignment="1">
      <alignment horizontal="center" vertical="center"/>
    </xf>
    <xf numFmtId="0" fontId="5" fillId="0" borderId="43" xfId="0" applyFont="1" applyBorder="1"/>
    <xf numFmtId="49" fontId="5" fillId="0" borderId="15" xfId="0" applyNumberFormat="1" applyFont="1" applyBorder="1" applyAlignment="1">
      <alignment horizontal="left" vertical="center" wrapText="1"/>
    </xf>
    <xf numFmtId="49" fontId="5" fillId="0" borderId="44" xfId="0" applyNumberFormat="1" applyFont="1" applyBorder="1" applyAlignment="1">
      <alignment horizontal="center" vertical="center"/>
    </xf>
    <xf numFmtId="49" fontId="5" fillId="0" borderId="45" xfId="0" applyNumberFormat="1" applyFont="1" applyBorder="1" applyAlignment="1">
      <alignment horizontal="left" vertical="center" wrapText="1"/>
    </xf>
    <xf numFmtId="0" fontId="5" fillId="0" borderId="46" xfId="0" applyFont="1" applyBorder="1"/>
    <xf numFmtId="49" fontId="5" fillId="0" borderId="14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 vertical="top" wrapText="1"/>
    </xf>
    <xf numFmtId="0" fontId="6" fillId="0" borderId="45" xfId="0" applyFont="1" applyBorder="1" applyAlignment="1">
      <alignment horizontal="center" vertical="center"/>
    </xf>
    <xf numFmtId="4" fontId="6" fillId="0" borderId="45" xfId="0" applyNumberFormat="1" applyFont="1" applyBorder="1" applyAlignment="1">
      <alignment vertical="center"/>
    </xf>
    <xf numFmtId="0" fontId="7" fillId="0" borderId="44" xfId="0" applyFont="1" applyBorder="1"/>
    <xf numFmtId="0" fontId="7" fillId="0" borderId="45" xfId="0" applyFont="1" applyBorder="1"/>
    <xf numFmtId="49" fontId="2" fillId="0" borderId="5" xfId="0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left" vertical="center" wrapText="1"/>
    </xf>
    <xf numFmtId="0" fontId="5" fillId="0" borderId="16" xfId="0" applyFont="1" applyBorder="1" applyAlignment="1">
      <alignment vertical="center"/>
    </xf>
    <xf numFmtId="49" fontId="5" fillId="0" borderId="41" xfId="1" applyNumberFormat="1" applyFont="1" applyBorder="1" applyAlignment="1">
      <alignment horizontal="center" vertical="center"/>
    </xf>
    <xf numFmtId="0" fontId="5" fillId="0" borderId="42" xfId="1" applyFont="1" applyBorder="1" applyAlignment="1">
      <alignment horizontal="left" vertical="center" wrapText="1"/>
    </xf>
    <xf numFmtId="0" fontId="5" fillId="0" borderId="43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49" fontId="5" fillId="0" borderId="49" xfId="0" applyNumberFormat="1" applyFont="1" applyBorder="1" applyAlignment="1">
      <alignment horizontal="left" vertical="center" wrapText="1"/>
    </xf>
    <xf numFmtId="0" fontId="5" fillId="0" borderId="49" xfId="0" applyFont="1" applyBorder="1" applyAlignment="1">
      <alignment horizontal="center" vertical="center"/>
    </xf>
    <xf numFmtId="4" fontId="5" fillId="0" borderId="49" xfId="1" applyNumberFormat="1" applyFont="1" applyBorder="1" applyAlignment="1">
      <alignment horizontal="center" vertical="center"/>
    </xf>
    <xf numFmtId="164" fontId="5" fillId="0" borderId="49" xfId="0" applyNumberFormat="1" applyFont="1" applyBorder="1" applyAlignment="1">
      <alignment horizontal="center" vertical="center"/>
    </xf>
    <xf numFmtId="0" fontId="5" fillId="0" borderId="50" xfId="0" applyFont="1" applyBorder="1"/>
    <xf numFmtId="0" fontId="7" fillId="0" borderId="36" xfId="0" applyFont="1" applyBorder="1"/>
    <xf numFmtId="0" fontId="7" fillId="0" borderId="32" xfId="0" applyFont="1" applyBorder="1"/>
    <xf numFmtId="164" fontId="5" fillId="0" borderId="32" xfId="0" applyNumberFormat="1" applyFont="1" applyBorder="1" applyAlignment="1">
      <alignment horizontal="center" vertical="center"/>
    </xf>
    <xf numFmtId="0" fontId="5" fillId="0" borderId="37" xfId="0" applyFont="1" applyBorder="1"/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4" fontId="5" fillId="0" borderId="7" xfId="1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49" fontId="5" fillId="0" borderId="41" xfId="1" applyNumberFormat="1" applyFont="1" applyBorder="1" applyAlignment="1">
      <alignment vertical="center"/>
    </xf>
    <xf numFmtId="49" fontId="2" fillId="0" borderId="42" xfId="1" applyNumberFormat="1" applyFont="1" applyBorder="1" applyAlignment="1">
      <alignment vertical="center"/>
    </xf>
    <xf numFmtId="164" fontId="2" fillId="0" borderId="42" xfId="1" applyNumberFormat="1" applyFont="1" applyBorder="1" applyAlignment="1">
      <alignment vertical="center"/>
    </xf>
    <xf numFmtId="49" fontId="2" fillId="0" borderId="43" xfId="1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49" fontId="5" fillId="0" borderId="20" xfId="0" applyNumberFormat="1" applyFont="1" applyBorder="1" applyAlignment="1">
      <alignment horizontal="left" vertical="center" wrapText="1"/>
    </xf>
    <xf numFmtId="43" fontId="0" fillId="0" borderId="0" xfId="2" applyFont="1"/>
    <xf numFmtId="43" fontId="8" fillId="0" borderId="0" xfId="0" applyNumberFormat="1" applyFont="1"/>
    <xf numFmtId="165" fontId="8" fillId="0" borderId="0" xfId="0" applyNumberFormat="1" applyFont="1"/>
    <xf numFmtId="0" fontId="9" fillId="0" borderId="0" xfId="0" applyFont="1"/>
    <xf numFmtId="0" fontId="10" fillId="0" borderId="0" xfId="0" applyFont="1"/>
    <xf numFmtId="164" fontId="10" fillId="0" borderId="0" xfId="0" applyNumberFormat="1" applyFont="1"/>
    <xf numFmtId="0" fontId="11" fillId="0" borderId="0" xfId="0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164" fontId="12" fillId="0" borderId="0" xfId="0" applyNumberFormat="1" applyFont="1"/>
    <xf numFmtId="0" fontId="11" fillId="0" borderId="0" xfId="0" applyFont="1"/>
    <xf numFmtId="164" fontId="11" fillId="0" borderId="0" xfId="0" applyNumberFormat="1" applyFont="1" applyAlignment="1">
      <alignment vertical="center"/>
    </xf>
    <xf numFmtId="164" fontId="11" fillId="0" borderId="0" xfId="0" applyNumberFormat="1" applyFont="1"/>
    <xf numFmtId="164" fontId="11" fillId="2" borderId="5" xfId="0" applyNumberFormat="1" applyFont="1" applyFill="1" applyBorder="1" applyAlignment="1">
      <alignment horizontal="right"/>
    </xf>
    <xf numFmtId="0" fontId="11" fillId="2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 vertical="center"/>
    </xf>
    <xf numFmtId="4" fontId="11" fillId="4" borderId="13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4" fontId="11" fillId="0" borderId="15" xfId="0" applyNumberFormat="1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49" fontId="12" fillId="0" borderId="14" xfId="1" applyNumberFormat="1" applyFont="1" applyBorder="1" applyAlignment="1">
      <alignment horizontal="center" vertical="center"/>
    </xf>
    <xf numFmtId="0" fontId="12" fillId="0" borderId="15" xfId="1" applyFont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/>
    </xf>
    <xf numFmtId="4" fontId="12" fillId="0" borderId="15" xfId="1" applyNumberFormat="1" applyFont="1" applyBorder="1" applyAlignment="1">
      <alignment horizontal="center" vertical="center"/>
    </xf>
    <xf numFmtId="164" fontId="12" fillId="0" borderId="15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49" fontId="12" fillId="0" borderId="14" xfId="1" applyNumberFormat="1" applyFont="1" applyBorder="1" applyAlignment="1">
      <alignment vertical="center"/>
    </xf>
    <xf numFmtId="49" fontId="12" fillId="0" borderId="15" xfId="1" applyNumberFormat="1" applyFont="1" applyBorder="1" applyAlignment="1">
      <alignment vertical="center"/>
    </xf>
    <xf numFmtId="164" fontId="12" fillId="0" borderId="15" xfId="1" applyNumberFormat="1" applyFont="1" applyBorder="1" applyAlignment="1">
      <alignment vertical="center"/>
    </xf>
    <xf numFmtId="49" fontId="12" fillId="0" borderId="16" xfId="1" applyNumberFormat="1" applyFont="1" applyBorder="1" applyAlignment="1">
      <alignment vertical="center"/>
    </xf>
    <xf numFmtId="0" fontId="12" fillId="0" borderId="15" xfId="0" applyFont="1" applyBorder="1" applyAlignment="1">
      <alignment vertical="center" wrapText="1"/>
    </xf>
    <xf numFmtId="4" fontId="12" fillId="0" borderId="15" xfId="0" applyNumberFormat="1" applyFont="1" applyBorder="1" applyAlignment="1">
      <alignment horizontal="center" vertical="center"/>
    </xf>
    <xf numFmtId="0" fontId="12" fillId="0" borderId="16" xfId="0" applyFont="1" applyBorder="1"/>
    <xf numFmtId="49" fontId="12" fillId="0" borderId="15" xfId="0" applyNumberFormat="1" applyFont="1" applyBorder="1" applyAlignment="1">
      <alignment horizontal="left" vertical="center" wrapText="1"/>
    </xf>
    <xf numFmtId="49" fontId="11" fillId="0" borderId="15" xfId="1" applyNumberFormat="1" applyFont="1" applyBorder="1" applyAlignment="1">
      <alignment vertical="center"/>
    </xf>
    <xf numFmtId="164" fontId="11" fillId="0" borderId="15" xfId="1" applyNumberFormat="1" applyFont="1" applyBorder="1" applyAlignment="1">
      <alignment vertical="center"/>
    </xf>
    <xf numFmtId="49" fontId="11" fillId="0" borderId="16" xfId="1" applyNumberFormat="1" applyFont="1" applyBorder="1" applyAlignment="1">
      <alignment vertical="center"/>
    </xf>
    <xf numFmtId="49" fontId="12" fillId="0" borderId="14" xfId="0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 wrapText="1"/>
    </xf>
    <xf numFmtId="49" fontId="15" fillId="0" borderId="15" xfId="0" applyNumberFormat="1" applyFont="1" applyBorder="1" applyAlignment="1">
      <alignment horizontal="left" vertical="center" wrapText="1"/>
    </xf>
    <xf numFmtId="49" fontId="12" fillId="0" borderId="51" xfId="0" applyNumberFormat="1" applyFont="1" applyBorder="1" applyAlignment="1">
      <alignment horizontal="left" vertical="center" wrapText="1"/>
    </xf>
    <xf numFmtId="4" fontId="12" fillId="0" borderId="22" xfId="1" applyNumberFormat="1" applyFont="1" applyBorder="1" applyAlignment="1">
      <alignment horizontal="center" vertical="center"/>
    </xf>
    <xf numFmtId="164" fontId="12" fillId="0" borderId="22" xfId="0" applyNumberFormat="1" applyFont="1" applyBorder="1" applyAlignment="1">
      <alignment horizontal="center" vertical="center"/>
    </xf>
    <xf numFmtId="0" fontId="12" fillId="0" borderId="24" xfId="0" applyFont="1" applyBorder="1"/>
    <xf numFmtId="49" fontId="12" fillId="0" borderId="21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4" fontId="12" fillId="0" borderId="23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/>
    </xf>
    <xf numFmtId="49" fontId="12" fillId="5" borderId="51" xfId="0" applyNumberFormat="1" applyFont="1" applyFill="1" applyBorder="1" applyAlignment="1">
      <alignment horizontal="left" vertical="center" wrapText="1"/>
    </xf>
    <xf numFmtId="4" fontId="12" fillId="5" borderId="15" xfId="1" applyNumberFormat="1" applyFont="1" applyFill="1" applyBorder="1" applyAlignment="1">
      <alignment horizontal="center" vertical="center"/>
    </xf>
    <xf numFmtId="164" fontId="12" fillId="5" borderId="15" xfId="0" applyNumberFormat="1" applyFont="1" applyFill="1" applyBorder="1" applyAlignment="1">
      <alignment horizontal="center" vertical="center"/>
    </xf>
    <xf numFmtId="0" fontId="12" fillId="5" borderId="16" xfId="0" applyFont="1" applyFill="1" applyBorder="1"/>
    <xf numFmtId="49" fontId="12" fillId="0" borderId="52" xfId="0" applyNumberFormat="1" applyFont="1" applyBorder="1" applyAlignment="1">
      <alignment horizontal="center" vertical="center"/>
    </xf>
    <xf numFmtId="0" fontId="12" fillId="0" borderId="53" xfId="0" applyFont="1" applyBorder="1"/>
    <xf numFmtId="49" fontId="11" fillId="2" borderId="25" xfId="0" applyNumberFormat="1" applyFont="1" applyFill="1" applyBorder="1" applyAlignment="1">
      <alignment horizontal="center" vertical="center"/>
    </xf>
    <xf numFmtId="49" fontId="11" fillId="2" borderId="30" xfId="0" applyNumberFormat="1" applyFont="1" applyFill="1" applyBorder="1" applyAlignment="1">
      <alignment horizontal="center" vertical="center"/>
    </xf>
    <xf numFmtId="164" fontId="12" fillId="0" borderId="15" xfId="0" applyNumberFormat="1" applyFont="1" applyBorder="1" applyAlignment="1">
      <alignment vertical="center"/>
    </xf>
    <xf numFmtId="0" fontId="12" fillId="0" borderId="15" xfId="0" applyFont="1" applyBorder="1" applyAlignment="1">
      <alignment horizontal="left" vertical="top" wrapText="1"/>
    </xf>
    <xf numFmtId="4" fontId="12" fillId="0" borderId="15" xfId="0" applyNumberFormat="1" applyFont="1" applyBorder="1" applyAlignment="1">
      <alignment vertical="center"/>
    </xf>
    <xf numFmtId="49" fontId="5" fillId="5" borderId="15" xfId="0" applyNumberFormat="1" applyFont="1" applyFill="1" applyBorder="1" applyAlignment="1">
      <alignment horizontal="left" vertical="center" wrapText="1"/>
    </xf>
    <xf numFmtId="49" fontId="2" fillId="0" borderId="15" xfId="0" applyNumberFormat="1" applyFont="1" applyBorder="1" applyAlignment="1">
      <alignment vertical="center" wrapText="1"/>
    </xf>
    <xf numFmtId="49" fontId="2" fillId="0" borderId="16" xfId="0" applyNumberFormat="1" applyFont="1" applyBorder="1" applyAlignment="1">
      <alignment vertical="center" wrapText="1"/>
    </xf>
    <xf numFmtId="0" fontId="5" fillId="5" borderId="15" xfId="0" applyFont="1" applyFill="1" applyBorder="1" applyAlignment="1">
      <alignment horizontal="center" vertical="center"/>
    </xf>
    <xf numFmtId="164" fontId="5" fillId="5" borderId="15" xfId="0" applyNumberFormat="1" applyFont="1" applyFill="1" applyBorder="1" applyAlignment="1">
      <alignment horizontal="center" vertical="center"/>
    </xf>
    <xf numFmtId="0" fontId="5" fillId="5" borderId="16" xfId="0" applyFont="1" applyFill="1" applyBorder="1"/>
    <xf numFmtId="4" fontId="5" fillId="5" borderId="15" xfId="1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4" fontId="2" fillId="6" borderId="5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/>
    </xf>
    <xf numFmtId="49" fontId="5" fillId="5" borderId="7" xfId="0" applyNumberFormat="1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center" vertical="center"/>
    </xf>
    <xf numFmtId="4" fontId="5" fillId="5" borderId="7" xfId="1" applyNumberFormat="1" applyFont="1" applyFill="1" applyBorder="1" applyAlignment="1">
      <alignment horizontal="center" vertical="center"/>
    </xf>
    <xf numFmtId="164" fontId="5" fillId="5" borderId="7" xfId="0" applyNumberFormat="1" applyFont="1" applyFill="1" applyBorder="1" applyAlignment="1">
      <alignment horizontal="center" vertical="center"/>
    </xf>
    <xf numFmtId="0" fontId="5" fillId="5" borderId="8" xfId="0" applyFont="1" applyFill="1" applyBorder="1"/>
    <xf numFmtId="49" fontId="5" fillId="5" borderId="14" xfId="0" applyNumberFormat="1" applyFont="1" applyFill="1" applyBorder="1" applyAlignment="1">
      <alignment horizontal="center" vertical="center"/>
    </xf>
    <xf numFmtId="49" fontId="5" fillId="5" borderId="48" xfId="0" applyNumberFormat="1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left" vertical="top" wrapText="1"/>
    </xf>
    <xf numFmtId="0" fontId="5" fillId="5" borderId="22" xfId="0" applyFont="1" applyFill="1" applyBorder="1" applyAlignment="1">
      <alignment horizontal="center" vertical="center"/>
    </xf>
    <xf numFmtId="4" fontId="5" fillId="5" borderId="22" xfId="0" applyNumberFormat="1" applyFont="1" applyFill="1" applyBorder="1" applyAlignment="1">
      <alignment horizontal="center" vertical="center"/>
    </xf>
    <xf numFmtId="164" fontId="5" fillId="5" borderId="22" xfId="0" applyNumberFormat="1" applyFont="1" applyFill="1" applyBorder="1" applyAlignment="1">
      <alignment horizontal="center" vertical="center"/>
    </xf>
    <xf numFmtId="0" fontId="5" fillId="5" borderId="50" xfId="0" applyFont="1" applyFill="1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7" fillId="0" borderId="0" xfId="0" applyFont="1"/>
    <xf numFmtId="16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18" fillId="0" borderId="0" xfId="0" applyNumberFormat="1" applyFont="1" applyAlignment="1">
      <alignment horizontal="center" vertical="center"/>
    </xf>
    <xf numFmtId="164" fontId="17" fillId="0" borderId="0" xfId="0" applyNumberFormat="1" applyFont="1"/>
    <xf numFmtId="164" fontId="17" fillId="0" borderId="5" xfId="0" applyNumberFormat="1" applyFont="1" applyBorder="1" applyAlignment="1">
      <alignment horizontal="right"/>
    </xf>
    <xf numFmtId="0" fontId="17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4" fontId="17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17" fillId="0" borderId="35" xfId="0" applyFont="1" applyBorder="1" applyAlignment="1">
      <alignment vertical="center"/>
    </xf>
    <xf numFmtId="49" fontId="17" fillId="0" borderId="0" xfId="1" applyNumberFormat="1" applyFont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4" fontId="19" fillId="0" borderId="15" xfId="1" applyNumberFormat="1" applyFont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49" fontId="19" fillId="0" borderId="36" xfId="1" applyNumberFormat="1" applyFont="1" applyBorder="1" applyAlignment="1">
      <alignment vertical="center"/>
    </xf>
    <xf numFmtId="49" fontId="19" fillId="0" borderId="32" xfId="1" applyNumberFormat="1" applyFont="1" applyBorder="1" applyAlignment="1">
      <alignment vertical="center"/>
    </xf>
    <xf numFmtId="164" fontId="19" fillId="0" borderId="32" xfId="1" applyNumberFormat="1" applyFont="1" applyBorder="1" applyAlignment="1">
      <alignment vertical="center"/>
    </xf>
    <xf numFmtId="49" fontId="19" fillId="0" borderId="37" xfId="1" applyNumberFormat="1" applyFont="1" applyBorder="1" applyAlignment="1">
      <alignment vertical="center"/>
    </xf>
    <xf numFmtId="49" fontId="17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1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4" fontId="17" fillId="0" borderId="5" xfId="0" applyNumberFormat="1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164" fontId="17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3" borderId="17" xfId="1" applyFont="1" applyFill="1" applyBorder="1" applyAlignment="1">
      <alignment horizontal="left" vertical="center" wrapText="1"/>
    </xf>
    <xf numFmtId="0" fontId="11" fillId="3" borderId="18" xfId="1" applyFont="1" applyFill="1" applyBorder="1" applyAlignment="1">
      <alignment horizontal="left" vertical="center" wrapText="1"/>
    </xf>
    <xf numFmtId="0" fontId="11" fillId="3" borderId="19" xfId="1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3" borderId="10" xfId="1" applyFont="1" applyFill="1" applyBorder="1" applyAlignment="1">
      <alignment horizontal="left" vertical="center" wrapText="1"/>
    </xf>
    <xf numFmtId="0" fontId="11" fillId="3" borderId="11" xfId="1" applyFont="1" applyFill="1" applyBorder="1" applyAlignment="1">
      <alignment horizontal="left" vertical="center" wrapText="1"/>
    </xf>
    <xf numFmtId="0" fontId="11" fillId="3" borderId="12" xfId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4" fontId="11" fillId="2" borderId="4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4" fontId="11" fillId="2" borderId="26" xfId="0" applyNumberFormat="1" applyFont="1" applyFill="1" applyBorder="1" applyAlignment="1">
      <alignment horizontal="center" vertical="center"/>
    </xf>
    <xf numFmtId="4" fontId="11" fillId="2" borderId="27" xfId="0" applyNumberFormat="1" applyFont="1" applyFill="1" applyBorder="1" applyAlignment="1">
      <alignment horizontal="center" vertical="center"/>
    </xf>
    <xf numFmtId="4" fontId="11" fillId="2" borderId="28" xfId="0" applyNumberFormat="1" applyFont="1" applyFill="1" applyBorder="1" applyAlignment="1">
      <alignment horizontal="center" vertical="center"/>
    </xf>
    <xf numFmtId="3" fontId="11" fillId="2" borderId="29" xfId="0" applyNumberFormat="1" applyFont="1" applyFill="1" applyBorder="1" applyAlignment="1">
      <alignment horizontal="center" vertical="center"/>
    </xf>
    <xf numFmtId="3" fontId="11" fillId="2" borderId="34" xfId="0" applyNumberFormat="1" applyFont="1" applyFill="1" applyBorder="1" applyAlignment="1">
      <alignment horizontal="center" vertical="center"/>
    </xf>
    <xf numFmtId="4" fontId="11" fillId="2" borderId="31" xfId="0" applyNumberFormat="1" applyFont="1" applyFill="1" applyBorder="1" applyAlignment="1">
      <alignment horizontal="center" vertical="center"/>
    </xf>
    <xf numFmtId="4" fontId="11" fillId="2" borderId="32" xfId="0" applyNumberFormat="1" applyFont="1" applyFill="1" applyBorder="1" applyAlignment="1">
      <alignment horizontal="center" vertical="center"/>
    </xf>
    <xf numFmtId="4" fontId="11" fillId="2" borderId="33" xfId="0" applyNumberFormat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8" xfId="1" applyFont="1" applyBorder="1" applyAlignment="1">
      <alignment horizontal="left" vertical="center" wrapText="1"/>
    </xf>
    <xf numFmtId="0" fontId="2" fillId="0" borderId="39" xfId="1" applyFont="1" applyBorder="1" applyAlignment="1">
      <alignment horizontal="left" vertical="center" wrapText="1"/>
    </xf>
    <xf numFmtId="0" fontId="2" fillId="0" borderId="40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4" fontId="2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/>
    </xf>
    <xf numFmtId="0" fontId="2" fillId="5" borderId="5" xfId="1" applyFont="1" applyFill="1" applyBorder="1" applyAlignment="1">
      <alignment horizontal="left" vertical="center" wrapText="1"/>
    </xf>
  </cellXfs>
  <cellStyles count="3">
    <cellStyle name="Normal" xfId="0" builtinId="0"/>
    <cellStyle name="Standard 2" xfId="1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zoomScale="146" zoomScaleNormal="146" workbookViewId="0">
      <selection activeCell="H7" sqref="H7"/>
    </sheetView>
  </sheetViews>
  <sheetFormatPr defaultRowHeight="14.4"/>
  <cols>
    <col min="2" max="2" width="28.44140625" bestFit="1" customWidth="1"/>
    <col min="3" max="3" width="14.5546875" customWidth="1"/>
    <col min="4" max="4" width="14.77734375" bestFit="1" customWidth="1"/>
  </cols>
  <sheetData>
    <row r="1" spans="1:4">
      <c r="A1" s="175" t="s">
        <v>220</v>
      </c>
      <c r="B1" s="176" t="s">
        <v>9</v>
      </c>
    </row>
    <row r="2" spans="1:4">
      <c r="A2" s="174">
        <v>1</v>
      </c>
      <c r="B2" t="s">
        <v>0</v>
      </c>
      <c r="C2" s="91"/>
    </row>
    <row r="3" spans="1:4">
      <c r="A3" s="174">
        <v>2</v>
      </c>
      <c r="B3" t="s">
        <v>1</v>
      </c>
      <c r="C3" s="91"/>
    </row>
    <row r="4" spans="1:4">
      <c r="A4" s="174">
        <v>3</v>
      </c>
      <c r="B4" t="s">
        <v>2</v>
      </c>
      <c r="C4" s="91"/>
    </row>
    <row r="5" spans="1:4">
      <c r="A5" s="174">
        <v>4</v>
      </c>
      <c r="B5" t="s">
        <v>3</v>
      </c>
      <c r="C5" s="91"/>
    </row>
    <row r="6" spans="1:4">
      <c r="A6" s="174">
        <v>5</v>
      </c>
      <c r="B6" t="s">
        <v>4</v>
      </c>
      <c r="C6" s="91"/>
    </row>
    <row r="7" spans="1:4">
      <c r="A7" s="174">
        <v>6</v>
      </c>
      <c r="B7" t="s">
        <v>5</v>
      </c>
      <c r="C7" s="91"/>
    </row>
    <row r="8" spans="1:4">
      <c r="A8" s="174">
        <v>7</v>
      </c>
      <c r="B8" t="s">
        <v>6</v>
      </c>
      <c r="C8" s="91"/>
    </row>
    <row r="9" spans="1:4">
      <c r="A9" s="174">
        <v>8</v>
      </c>
      <c r="B9" t="s">
        <v>7</v>
      </c>
      <c r="C9" s="91"/>
    </row>
    <row r="10" spans="1:4">
      <c r="A10" s="174">
        <v>9</v>
      </c>
      <c r="B10" t="s">
        <v>8</v>
      </c>
      <c r="C10" s="91"/>
    </row>
    <row r="11" spans="1:4">
      <c r="C11" s="92"/>
      <c r="D11" s="93"/>
    </row>
    <row r="12" spans="1:4">
      <c r="C12" s="93"/>
      <c r="D12" s="9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activeCell="E27" sqref="E27"/>
    </sheetView>
  </sheetViews>
  <sheetFormatPr defaultRowHeight="14.4"/>
  <cols>
    <col min="1" max="1" width="9.109375" style="94" customWidth="1"/>
    <col min="2" max="2" width="39.5546875" style="95" customWidth="1"/>
    <col min="3" max="3" width="4.5546875" style="95" customWidth="1"/>
    <col min="4" max="4" width="6.5546875" style="95" customWidth="1"/>
    <col min="5" max="5" width="11.44140625" style="96" customWidth="1"/>
    <col min="6" max="6" width="12.33203125" style="96" bestFit="1" customWidth="1"/>
    <col min="7" max="7" width="14.6640625" style="95" customWidth="1"/>
  </cols>
  <sheetData>
    <row r="1" spans="1:7" ht="8.1" customHeight="1"/>
    <row r="2" spans="1:7">
      <c r="A2" s="97" t="s">
        <v>10</v>
      </c>
      <c r="B2" s="97"/>
      <c r="C2" s="97"/>
      <c r="D2" s="97"/>
      <c r="E2" s="98"/>
      <c r="F2" s="99"/>
      <c r="G2" s="97"/>
    </row>
    <row r="3" spans="1:7">
      <c r="A3" s="100" t="s">
        <v>11</v>
      </c>
      <c r="B3" s="97" t="s">
        <v>90</v>
      </c>
      <c r="C3" s="100"/>
      <c r="E3" s="101"/>
      <c r="F3" s="101"/>
      <c r="G3" s="100"/>
    </row>
    <row r="4" spans="1:7">
      <c r="A4" s="100" t="s">
        <v>13</v>
      </c>
      <c r="B4" s="97"/>
      <c r="C4" s="100"/>
      <c r="D4" s="100"/>
      <c r="E4" s="98"/>
      <c r="F4" s="206"/>
      <c r="G4" s="206"/>
    </row>
    <row r="5" spans="1:7">
      <c r="A5" s="100" t="s">
        <v>14</v>
      </c>
      <c r="B5" s="97" t="s">
        <v>152</v>
      </c>
      <c r="C5" s="100"/>
      <c r="D5" s="100"/>
      <c r="E5" s="98"/>
      <c r="F5" s="206" t="s">
        <v>16</v>
      </c>
      <c r="G5" s="206"/>
    </row>
    <row r="6" spans="1:7" ht="15" thickBot="1">
      <c r="A6" s="100"/>
      <c r="B6" s="97"/>
      <c r="C6" s="100"/>
      <c r="D6" s="100"/>
      <c r="E6" s="102"/>
      <c r="F6" s="102"/>
      <c r="G6" s="100"/>
    </row>
    <row r="7" spans="1:7" ht="15" thickBot="1">
      <c r="A7" s="218" t="s">
        <v>17</v>
      </c>
      <c r="B7" s="218" t="s">
        <v>18</v>
      </c>
      <c r="C7" s="218" t="s">
        <v>19</v>
      </c>
      <c r="D7" s="220" t="s">
        <v>20</v>
      </c>
      <c r="E7" s="222" t="s">
        <v>21</v>
      </c>
      <c r="F7" s="207" t="s">
        <v>22</v>
      </c>
      <c r="G7" s="208"/>
    </row>
    <row r="8" spans="1:7" ht="15" thickBot="1">
      <c r="A8" s="219"/>
      <c r="B8" s="219" t="s">
        <v>23</v>
      </c>
      <c r="C8" s="219" t="s">
        <v>24</v>
      </c>
      <c r="D8" s="221" t="s">
        <v>25</v>
      </c>
      <c r="E8" s="223"/>
      <c r="F8" s="103" t="s">
        <v>26</v>
      </c>
      <c r="G8" s="104" t="s">
        <v>27</v>
      </c>
    </row>
    <row r="9" spans="1:7" ht="12" customHeight="1">
      <c r="A9" s="212"/>
      <c r="B9" s="213"/>
      <c r="C9" s="213"/>
      <c r="D9" s="213"/>
      <c r="E9" s="213"/>
      <c r="F9" s="213"/>
      <c r="G9" s="214"/>
    </row>
    <row r="10" spans="1:7">
      <c r="A10" s="105">
        <v>1</v>
      </c>
      <c r="B10" s="215" t="s">
        <v>28</v>
      </c>
      <c r="C10" s="216"/>
      <c r="D10" s="216"/>
      <c r="E10" s="216"/>
      <c r="F10" s="217"/>
      <c r="G10" s="106">
        <f>+SUM(F12:F12)</f>
        <v>0</v>
      </c>
    </row>
    <row r="11" spans="1:7" ht="6.9" customHeight="1">
      <c r="A11" s="107"/>
      <c r="B11" s="108"/>
      <c r="C11" s="108"/>
      <c r="D11" s="108"/>
      <c r="E11" s="109"/>
      <c r="F11" s="109"/>
      <c r="G11" s="110"/>
    </row>
    <row r="12" spans="1:7" ht="55.2">
      <c r="A12" s="111" t="s">
        <v>29</v>
      </c>
      <c r="B12" s="112" t="s">
        <v>30</v>
      </c>
      <c r="C12" s="113" t="s">
        <v>31</v>
      </c>
      <c r="D12" s="114">
        <f>58.6*0.15</f>
        <v>8.7899999999999991</v>
      </c>
      <c r="E12" s="115"/>
      <c r="F12" s="115">
        <f>+D12*E12</f>
        <v>0</v>
      </c>
      <c r="G12" s="116"/>
    </row>
    <row r="13" spans="1:7" ht="6.9" customHeight="1">
      <c r="A13" s="117"/>
      <c r="B13" s="118"/>
      <c r="C13" s="118"/>
      <c r="D13" s="118"/>
      <c r="E13" s="119"/>
      <c r="F13" s="115"/>
      <c r="G13" s="120"/>
    </row>
    <row r="14" spans="1:7">
      <c r="A14" s="105">
        <v>2</v>
      </c>
      <c r="B14" s="215" t="s">
        <v>37</v>
      </c>
      <c r="C14" s="216"/>
      <c r="D14" s="216"/>
      <c r="E14" s="216"/>
      <c r="F14" s="217"/>
      <c r="G14" s="106">
        <f>SUM(F16:F18)</f>
        <v>0</v>
      </c>
    </row>
    <row r="15" spans="1:7">
      <c r="A15" s="107"/>
      <c r="B15" s="108"/>
      <c r="C15" s="108"/>
      <c r="D15" s="108"/>
      <c r="E15" s="109"/>
      <c r="F15" s="109"/>
      <c r="G15" s="110"/>
    </row>
    <row r="16" spans="1:7" ht="96.6">
      <c r="A16" s="111" t="s">
        <v>38</v>
      </c>
      <c r="B16" s="121" t="s">
        <v>39</v>
      </c>
      <c r="C16" s="122"/>
      <c r="D16" s="114"/>
      <c r="E16" s="115"/>
      <c r="F16" s="115"/>
      <c r="G16" s="123"/>
    </row>
    <row r="17" spans="1:7" ht="16.8">
      <c r="A17" s="111" t="s">
        <v>40</v>
      </c>
      <c r="B17" s="121" t="s">
        <v>41</v>
      </c>
      <c r="C17" s="113" t="s">
        <v>31</v>
      </c>
      <c r="D17" s="115">
        <f>0.2*0.4*12.1*2+0.2*0.4*4.9*5</f>
        <v>3.8960000000000008</v>
      </c>
      <c r="E17" s="115"/>
      <c r="F17" s="115">
        <f t="shared" ref="F17:F18" si="0">D17*E17</f>
        <v>0</v>
      </c>
      <c r="G17" s="123"/>
    </row>
    <row r="18" spans="1:7" ht="16.8">
      <c r="A18" s="111" t="s">
        <v>42</v>
      </c>
      <c r="B18" s="121" t="s">
        <v>43</v>
      </c>
      <c r="C18" s="113" t="s">
        <v>31</v>
      </c>
      <c r="D18" s="114">
        <f>56.52*0.15</f>
        <v>8.4779999999999998</v>
      </c>
      <c r="E18" s="115"/>
      <c r="F18" s="115">
        <f t="shared" si="0"/>
        <v>0</v>
      </c>
      <c r="G18" s="123"/>
    </row>
    <row r="19" spans="1:7">
      <c r="A19" s="111"/>
      <c r="B19" s="121"/>
      <c r="C19" s="113"/>
      <c r="D19" s="114"/>
      <c r="E19" s="115"/>
      <c r="F19" s="115"/>
      <c r="G19" s="123"/>
    </row>
    <row r="20" spans="1:7">
      <c r="A20" s="105">
        <v>3</v>
      </c>
      <c r="B20" s="215" t="s">
        <v>44</v>
      </c>
      <c r="C20" s="216"/>
      <c r="D20" s="216"/>
      <c r="E20" s="216"/>
      <c r="F20" s="217"/>
      <c r="G20" s="106">
        <f>+F22</f>
        <v>0</v>
      </c>
    </row>
    <row r="21" spans="1:7">
      <c r="A21" s="111"/>
      <c r="B21" s="121"/>
      <c r="C21" s="113"/>
      <c r="D21" s="114"/>
      <c r="E21" s="115"/>
      <c r="F21" s="115"/>
      <c r="G21" s="123"/>
    </row>
    <row r="22" spans="1:7" ht="85.2">
      <c r="A22" s="111" t="s">
        <v>45</v>
      </c>
      <c r="B22" s="124" t="s">
        <v>46</v>
      </c>
      <c r="C22" s="113" t="s">
        <v>34</v>
      </c>
      <c r="D22" s="114">
        <v>6</v>
      </c>
      <c r="E22" s="115"/>
      <c r="F22" s="115">
        <f t="shared" ref="F22" si="1">D22*E22</f>
        <v>0</v>
      </c>
      <c r="G22" s="123"/>
    </row>
    <row r="23" spans="1:7" ht="6.9" customHeight="1">
      <c r="A23" s="117"/>
      <c r="B23" s="125"/>
      <c r="C23" s="125"/>
      <c r="D23" s="125"/>
      <c r="E23" s="126"/>
      <c r="F23" s="126"/>
      <c r="G23" s="127"/>
    </row>
    <row r="24" spans="1:7">
      <c r="A24" s="105">
        <v>4</v>
      </c>
      <c r="B24" s="215" t="s">
        <v>47</v>
      </c>
      <c r="C24" s="216"/>
      <c r="D24" s="216"/>
      <c r="E24" s="216"/>
      <c r="F24" s="217"/>
      <c r="G24" s="106">
        <f>SUM(F26:F27)</f>
        <v>0</v>
      </c>
    </row>
    <row r="25" spans="1:7">
      <c r="A25" s="128"/>
      <c r="B25" s="124"/>
      <c r="C25" s="113"/>
      <c r="D25" s="114"/>
      <c r="E25" s="115"/>
      <c r="F25" s="115"/>
      <c r="G25" s="123"/>
    </row>
    <row r="26" spans="1:7" ht="82.8">
      <c r="A26" s="128" t="s">
        <v>48</v>
      </c>
      <c r="B26" s="124" t="s">
        <v>49</v>
      </c>
      <c r="C26" s="113" t="s">
        <v>34</v>
      </c>
      <c r="D26" s="114">
        <f>19.2*3.1</f>
        <v>59.519999999999996</v>
      </c>
      <c r="E26" s="115"/>
      <c r="F26" s="115">
        <f>+D26*E26</f>
        <v>0</v>
      </c>
      <c r="G26" s="123"/>
    </row>
    <row r="27" spans="1:7" ht="41.4">
      <c r="A27" s="128" t="s">
        <v>50</v>
      </c>
      <c r="B27" s="129" t="s">
        <v>153</v>
      </c>
      <c r="C27" s="113" t="s">
        <v>34</v>
      </c>
      <c r="D27" s="114">
        <f>+(4.9+12)*2.85</f>
        <v>48.164999999999999</v>
      </c>
      <c r="E27" s="115"/>
      <c r="F27" s="115">
        <f>+D27*E27</f>
        <v>0</v>
      </c>
      <c r="G27" s="123"/>
    </row>
    <row r="28" spans="1:7">
      <c r="A28" s="136"/>
      <c r="B28" s="129"/>
      <c r="C28" s="137"/>
      <c r="D28" s="133"/>
      <c r="E28" s="134"/>
      <c r="F28" s="138"/>
      <c r="G28" s="135"/>
    </row>
    <row r="29" spans="1:7">
      <c r="A29" s="105">
        <v>5</v>
      </c>
      <c r="B29" s="215" t="s">
        <v>139</v>
      </c>
      <c r="C29" s="216"/>
      <c r="D29" s="216"/>
      <c r="E29" s="216"/>
      <c r="F29" s="217"/>
      <c r="G29" s="106">
        <f>+SUM(F31)</f>
        <v>0</v>
      </c>
    </row>
    <row r="30" spans="1:7" ht="6.9" customHeight="1">
      <c r="A30" s="128"/>
      <c r="B30" s="124"/>
      <c r="C30" s="130"/>
      <c r="D30" s="114"/>
      <c r="E30" s="115"/>
      <c r="F30" s="115"/>
      <c r="G30" s="123"/>
    </row>
    <row r="31" spans="1:7" ht="55.2">
      <c r="A31" s="128" t="s">
        <v>57</v>
      </c>
      <c r="B31" s="124" t="s">
        <v>72</v>
      </c>
      <c r="C31" s="113" t="s">
        <v>73</v>
      </c>
      <c r="D31" s="114">
        <v>1</v>
      </c>
      <c r="E31" s="115"/>
      <c r="F31" s="115">
        <f t="shared" ref="F31" si="2">D31*E31</f>
        <v>0</v>
      </c>
      <c r="G31" s="123"/>
    </row>
    <row r="32" spans="1:7">
      <c r="A32" s="128"/>
      <c r="B32" s="124"/>
      <c r="C32" s="113"/>
      <c r="D32" s="114"/>
      <c r="E32" s="115"/>
      <c r="F32" s="115"/>
      <c r="G32" s="123"/>
    </row>
    <row r="33" spans="1:7">
      <c r="A33" s="105">
        <v>6</v>
      </c>
      <c r="B33" s="215" t="s">
        <v>140</v>
      </c>
      <c r="C33" s="216"/>
      <c r="D33" s="216"/>
      <c r="E33" s="216"/>
      <c r="F33" s="217"/>
      <c r="G33" s="106">
        <f>SUM(F35:F35)</f>
        <v>0</v>
      </c>
    </row>
    <row r="34" spans="1:7">
      <c r="A34" s="136"/>
      <c r="B34" s="129"/>
      <c r="C34" s="139"/>
      <c r="D34" s="133"/>
      <c r="E34" s="134"/>
      <c r="F34" s="138"/>
      <c r="G34" s="135"/>
    </row>
    <row r="35" spans="1:7" ht="55.2">
      <c r="A35" s="136" t="s">
        <v>71</v>
      </c>
      <c r="B35" s="129" t="s">
        <v>76</v>
      </c>
      <c r="C35" s="139" t="s">
        <v>73</v>
      </c>
      <c r="D35" s="133">
        <v>1</v>
      </c>
      <c r="E35" s="134"/>
      <c r="F35" s="138">
        <f>+D35*E35</f>
        <v>0</v>
      </c>
      <c r="G35" s="135"/>
    </row>
    <row r="36" spans="1:7">
      <c r="A36" s="128"/>
      <c r="B36" s="124"/>
      <c r="C36" s="113"/>
      <c r="D36" s="114"/>
      <c r="E36" s="115"/>
      <c r="F36" s="115"/>
      <c r="G36" s="123"/>
    </row>
    <row r="37" spans="1:7">
      <c r="A37" s="105">
        <v>7</v>
      </c>
      <c r="B37" s="215" t="s">
        <v>149</v>
      </c>
      <c r="C37" s="216"/>
      <c r="D37" s="216"/>
      <c r="E37" s="216"/>
      <c r="F37" s="217"/>
      <c r="G37" s="106">
        <f>SUM(F39:F39)</f>
        <v>0</v>
      </c>
    </row>
    <row r="38" spans="1:7">
      <c r="A38" s="128"/>
      <c r="B38" s="129"/>
      <c r="C38" s="139"/>
      <c r="D38" s="133"/>
      <c r="E38" s="134"/>
      <c r="F38" s="138"/>
      <c r="G38" s="135"/>
    </row>
    <row r="39" spans="1:7" ht="69">
      <c r="A39" s="128" t="s">
        <v>75</v>
      </c>
      <c r="B39" s="129" t="s">
        <v>94</v>
      </c>
      <c r="C39" s="139" t="s">
        <v>73</v>
      </c>
      <c r="D39" s="133">
        <v>1</v>
      </c>
      <c r="E39" s="134"/>
      <c r="F39" s="138">
        <f>+D39*E39</f>
        <v>0</v>
      </c>
      <c r="G39" s="135"/>
    </row>
    <row r="40" spans="1:7">
      <c r="A40" s="128"/>
      <c r="B40" s="124"/>
      <c r="C40" s="113"/>
      <c r="D40" s="114"/>
      <c r="E40" s="115"/>
      <c r="F40" s="115"/>
      <c r="G40" s="123"/>
    </row>
    <row r="41" spans="1:7">
      <c r="A41" s="105">
        <v>8</v>
      </c>
      <c r="B41" s="215" t="s">
        <v>77</v>
      </c>
      <c r="C41" s="216"/>
      <c r="D41" s="216"/>
      <c r="E41" s="216"/>
      <c r="F41" s="217"/>
      <c r="G41" s="106">
        <f>SUM(F43:F44)</f>
        <v>0</v>
      </c>
    </row>
    <row r="42" spans="1:7">
      <c r="A42" s="128"/>
      <c r="B42" s="124"/>
      <c r="C42" s="113"/>
      <c r="D42" s="114"/>
      <c r="E42" s="115"/>
      <c r="F42" s="115"/>
      <c r="G42" s="123"/>
    </row>
    <row r="43" spans="1:7" ht="69">
      <c r="A43" s="136" t="s">
        <v>78</v>
      </c>
      <c r="B43" s="129" t="s">
        <v>79</v>
      </c>
      <c r="C43" s="140" t="s">
        <v>73</v>
      </c>
      <c r="D43" s="114">
        <v>1</v>
      </c>
      <c r="E43" s="115"/>
      <c r="F43" s="115">
        <f>+D43*E43</f>
        <v>0</v>
      </c>
      <c r="G43" s="123"/>
    </row>
    <row r="44" spans="1:7" ht="55.2">
      <c r="A44" s="136" t="s">
        <v>80</v>
      </c>
      <c r="B44" s="132" t="s">
        <v>67</v>
      </c>
      <c r="C44" s="113" t="s">
        <v>34</v>
      </c>
      <c r="D44" s="114">
        <f>1.8*0.6</f>
        <v>1.08</v>
      </c>
      <c r="E44" s="115"/>
      <c r="F44" s="115">
        <f>+D44*E44</f>
        <v>0</v>
      </c>
      <c r="G44" s="123"/>
    </row>
    <row r="45" spans="1:7">
      <c r="A45" s="128"/>
      <c r="B45" s="129"/>
      <c r="C45" s="113"/>
      <c r="D45" s="114"/>
      <c r="E45" s="115"/>
      <c r="F45" s="115"/>
      <c r="G45" s="123"/>
    </row>
    <row r="46" spans="1:7">
      <c r="A46" s="105">
        <v>9</v>
      </c>
      <c r="B46" s="215" t="s">
        <v>154</v>
      </c>
      <c r="C46" s="216"/>
      <c r="D46" s="216"/>
      <c r="E46" s="216"/>
      <c r="F46" s="217"/>
      <c r="G46" s="106">
        <f>+F48</f>
        <v>0</v>
      </c>
    </row>
    <row r="47" spans="1:7">
      <c r="A47" s="128"/>
      <c r="B47" s="124"/>
      <c r="C47" s="113"/>
      <c r="D47" s="114"/>
      <c r="E47" s="115"/>
      <c r="F47" s="115"/>
      <c r="G47" s="123"/>
    </row>
    <row r="48" spans="1:7" ht="69">
      <c r="A48" s="136" t="s">
        <v>82</v>
      </c>
      <c r="B48" s="129" t="s">
        <v>155</v>
      </c>
      <c r="C48" s="113" t="s">
        <v>73</v>
      </c>
      <c r="D48" s="133">
        <v>1</v>
      </c>
      <c r="E48" s="134"/>
      <c r="F48" s="138">
        <f>+D48*E48</f>
        <v>0</v>
      </c>
      <c r="G48" s="135"/>
    </row>
    <row r="49" spans="1:7" ht="15" thickBot="1">
      <c r="A49" s="128"/>
      <c r="B49" s="150"/>
      <c r="C49" s="113"/>
      <c r="D49" s="151"/>
      <c r="E49" s="115"/>
      <c r="F49" s="115"/>
      <c r="G49" s="123"/>
    </row>
    <row r="50" spans="1:7">
      <c r="A50" s="147"/>
      <c r="B50" s="224"/>
      <c r="C50" s="225"/>
      <c r="D50" s="225"/>
      <c r="E50" s="225"/>
      <c r="F50" s="226"/>
      <c r="G50" s="227">
        <f>SUM(G10:G49)</f>
        <v>0</v>
      </c>
    </row>
    <row r="51" spans="1:7" ht="15" thickBot="1">
      <c r="A51" s="148"/>
      <c r="B51" s="229" t="s">
        <v>89</v>
      </c>
      <c r="C51" s="230"/>
      <c r="D51" s="230"/>
      <c r="E51" s="230"/>
      <c r="F51" s="231"/>
      <c r="G51" s="228"/>
    </row>
  </sheetData>
  <mergeCells count="21">
    <mergeCell ref="B46:F46"/>
    <mergeCell ref="G50:G51"/>
    <mergeCell ref="B51:F51"/>
    <mergeCell ref="B50:F50"/>
    <mergeCell ref="B29:F29"/>
    <mergeCell ref="B41:F41"/>
    <mergeCell ref="F4:G4"/>
    <mergeCell ref="F5:G5"/>
    <mergeCell ref="F7:G7"/>
    <mergeCell ref="A9:G9"/>
    <mergeCell ref="B10:F10"/>
    <mergeCell ref="A7:A8"/>
    <mergeCell ref="B7:B8"/>
    <mergeCell ref="C7:C8"/>
    <mergeCell ref="D7:D8"/>
    <mergeCell ref="E7:E8"/>
    <mergeCell ref="B14:F14"/>
    <mergeCell ref="B20:F20"/>
    <mergeCell ref="B24:F24"/>
    <mergeCell ref="B33:F33"/>
    <mergeCell ref="B37:F3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selection activeCell="I60" sqref="I60"/>
    </sheetView>
  </sheetViews>
  <sheetFormatPr defaultRowHeight="14.4"/>
  <cols>
    <col min="1" max="1" width="9" style="94" bestFit="1" customWidth="1"/>
    <col min="2" max="2" width="39.5546875" style="95" customWidth="1"/>
    <col min="3" max="3" width="4.5546875" style="95" customWidth="1"/>
    <col min="4" max="4" width="6.5546875" style="95" customWidth="1"/>
    <col min="5" max="5" width="11.44140625" style="96" customWidth="1"/>
    <col min="6" max="6" width="12.33203125" style="96" bestFit="1" customWidth="1"/>
    <col min="7" max="7" width="16.33203125" style="95" customWidth="1"/>
  </cols>
  <sheetData>
    <row r="1" spans="1:7" ht="8.1" customHeight="1"/>
    <row r="2" spans="1:7">
      <c r="A2" s="97" t="s">
        <v>10</v>
      </c>
      <c r="B2" s="97"/>
      <c r="C2" s="97"/>
      <c r="D2" s="97"/>
      <c r="E2" s="98"/>
      <c r="F2" s="99"/>
      <c r="G2" s="97"/>
    </row>
    <row r="3" spans="1:7">
      <c r="A3" s="100" t="s">
        <v>11</v>
      </c>
      <c r="B3" s="97" t="s">
        <v>156</v>
      </c>
      <c r="C3" s="100"/>
      <c r="E3" s="101"/>
      <c r="F3" s="101"/>
      <c r="G3" s="100"/>
    </row>
    <row r="4" spans="1:7">
      <c r="A4" s="100" t="s">
        <v>13</v>
      </c>
      <c r="B4" s="97"/>
      <c r="C4" s="100"/>
      <c r="D4" s="100"/>
      <c r="E4" s="98"/>
      <c r="F4" s="206"/>
      <c r="G4" s="206"/>
    </row>
    <row r="5" spans="1:7">
      <c r="A5" s="100" t="s">
        <v>14</v>
      </c>
      <c r="B5" s="97" t="s">
        <v>157</v>
      </c>
      <c r="C5" s="100"/>
      <c r="D5" s="100"/>
      <c r="E5" s="98"/>
      <c r="F5" s="206" t="s">
        <v>16</v>
      </c>
      <c r="G5" s="206"/>
    </row>
    <row r="6" spans="1:7" ht="15" thickBot="1">
      <c r="A6" s="100"/>
      <c r="B6" s="97"/>
      <c r="C6" s="100"/>
      <c r="D6" s="100"/>
      <c r="E6" s="102"/>
      <c r="F6" s="102"/>
      <c r="G6" s="100"/>
    </row>
    <row r="7" spans="1:7" ht="15" thickBot="1">
      <c r="A7" s="218" t="s">
        <v>17</v>
      </c>
      <c r="B7" s="218" t="s">
        <v>18</v>
      </c>
      <c r="C7" s="218" t="s">
        <v>19</v>
      </c>
      <c r="D7" s="220" t="s">
        <v>20</v>
      </c>
      <c r="E7" s="222" t="s">
        <v>21</v>
      </c>
      <c r="F7" s="207" t="s">
        <v>22</v>
      </c>
      <c r="G7" s="208"/>
    </row>
    <row r="8" spans="1:7" ht="15" thickBot="1">
      <c r="A8" s="219"/>
      <c r="B8" s="219" t="s">
        <v>23</v>
      </c>
      <c r="C8" s="219" t="s">
        <v>24</v>
      </c>
      <c r="D8" s="221" t="s">
        <v>25</v>
      </c>
      <c r="E8" s="223"/>
      <c r="F8" s="103" t="s">
        <v>26</v>
      </c>
      <c r="G8" s="104" t="s">
        <v>27</v>
      </c>
    </row>
    <row r="9" spans="1:7" ht="12" customHeight="1">
      <c r="A9" s="212"/>
      <c r="B9" s="213"/>
      <c r="C9" s="213"/>
      <c r="D9" s="213"/>
      <c r="E9" s="213"/>
      <c r="F9" s="213"/>
      <c r="G9" s="214"/>
    </row>
    <row r="10" spans="1:7">
      <c r="A10" s="105">
        <v>1</v>
      </c>
      <c r="B10" s="215" t="s">
        <v>28</v>
      </c>
      <c r="C10" s="216"/>
      <c r="D10" s="216"/>
      <c r="E10" s="216"/>
      <c r="F10" s="217"/>
      <c r="G10" s="106">
        <f>+SUM(F12:F13)</f>
        <v>0</v>
      </c>
    </row>
    <row r="11" spans="1:7" ht="6.9" customHeight="1">
      <c r="A11" s="107"/>
      <c r="B11" s="108"/>
      <c r="C11" s="108"/>
      <c r="D11" s="108"/>
      <c r="E11" s="109"/>
      <c r="F11" s="109"/>
      <c r="G11" s="110"/>
    </row>
    <row r="12" spans="1:7" ht="55.2">
      <c r="A12" s="111" t="s">
        <v>29</v>
      </c>
      <c r="B12" s="112" t="s">
        <v>30</v>
      </c>
      <c r="C12" s="113" t="s">
        <v>31</v>
      </c>
      <c r="D12" s="114">
        <f>16.4*0.15</f>
        <v>2.4599999999999995</v>
      </c>
      <c r="E12" s="115"/>
      <c r="F12" s="115">
        <f>+D12*E12</f>
        <v>0</v>
      </c>
      <c r="G12" s="116"/>
    </row>
    <row r="13" spans="1:7" ht="55.2">
      <c r="A13" s="111" t="s">
        <v>32</v>
      </c>
      <c r="B13" s="112" t="s">
        <v>33</v>
      </c>
      <c r="C13" s="113" t="s">
        <v>34</v>
      </c>
      <c r="D13" s="114">
        <f>19.53+15.7+12.97</f>
        <v>48.2</v>
      </c>
      <c r="E13" s="115"/>
      <c r="F13" s="115">
        <f>D13*E13</f>
        <v>0</v>
      </c>
      <c r="G13" s="116"/>
    </row>
    <row r="14" spans="1:7" ht="6.9" customHeight="1">
      <c r="A14" s="117"/>
      <c r="B14" s="118"/>
      <c r="C14" s="118"/>
      <c r="D14" s="118"/>
      <c r="E14" s="119"/>
      <c r="F14" s="115"/>
      <c r="G14" s="120"/>
    </row>
    <row r="15" spans="1:7">
      <c r="A15" s="105">
        <v>2</v>
      </c>
      <c r="B15" s="215" t="s">
        <v>37</v>
      </c>
      <c r="C15" s="216"/>
      <c r="D15" s="216"/>
      <c r="E15" s="216"/>
      <c r="F15" s="217"/>
      <c r="G15" s="106">
        <f>SUM(F17:F19)</f>
        <v>0</v>
      </c>
    </row>
    <row r="16" spans="1:7">
      <c r="A16" s="107"/>
      <c r="B16" s="108"/>
      <c r="C16" s="108"/>
      <c r="D16" s="108"/>
      <c r="E16" s="109"/>
      <c r="F16" s="109"/>
      <c r="G16" s="110"/>
    </row>
    <row r="17" spans="1:7" ht="96.6">
      <c r="A17" s="111" t="s">
        <v>38</v>
      </c>
      <c r="B17" s="121" t="s">
        <v>39</v>
      </c>
      <c r="C17" s="122"/>
      <c r="D17" s="114"/>
      <c r="E17" s="115"/>
      <c r="F17" s="115"/>
      <c r="G17" s="123"/>
    </row>
    <row r="18" spans="1:7" ht="16.8">
      <c r="A18" s="111" t="s">
        <v>40</v>
      </c>
      <c r="B18" s="121" t="s">
        <v>41</v>
      </c>
      <c r="C18" s="113" t="s">
        <v>31</v>
      </c>
      <c r="D18" s="115">
        <f>+(10.95*0.2*0.4*2+7.04*0.2*0.4*3+6.9*0.2*0.4)</f>
        <v>3.9936000000000003</v>
      </c>
      <c r="E18" s="115"/>
      <c r="F18" s="115">
        <f t="shared" ref="F18:F19" si="0">D18*E18</f>
        <v>0</v>
      </c>
      <c r="G18" s="123"/>
    </row>
    <row r="19" spans="1:7" ht="16.8">
      <c r="A19" s="111" t="s">
        <v>42</v>
      </c>
      <c r="B19" s="121" t="s">
        <v>43</v>
      </c>
      <c r="C19" s="113" t="s">
        <v>31</v>
      </c>
      <c r="D19" s="114">
        <f>51.82*0.15</f>
        <v>7.7729999999999997</v>
      </c>
      <c r="E19" s="115"/>
      <c r="F19" s="115">
        <f t="shared" si="0"/>
        <v>0</v>
      </c>
      <c r="G19" s="123"/>
    </row>
    <row r="20" spans="1:7">
      <c r="A20" s="111"/>
      <c r="B20" s="121"/>
      <c r="C20" s="113"/>
      <c r="D20" s="114"/>
      <c r="E20" s="115"/>
      <c r="F20" s="115"/>
      <c r="G20" s="123"/>
    </row>
    <row r="21" spans="1:7">
      <c r="A21" s="105">
        <v>3</v>
      </c>
      <c r="B21" s="215" t="s">
        <v>44</v>
      </c>
      <c r="C21" s="216"/>
      <c r="D21" s="216"/>
      <c r="E21" s="216"/>
      <c r="F21" s="217"/>
      <c r="G21" s="106">
        <f>+SUM(F23:F26)</f>
        <v>0</v>
      </c>
    </row>
    <row r="22" spans="1:7">
      <c r="A22" s="111"/>
      <c r="B22" s="121"/>
      <c r="C22" s="113"/>
      <c r="D22" s="114"/>
      <c r="E22" s="115"/>
      <c r="F22" s="115"/>
      <c r="G22" s="123"/>
    </row>
    <row r="23" spans="1:7" ht="85.2">
      <c r="A23" s="111" t="s">
        <v>45</v>
      </c>
      <c r="B23" s="124" t="s">
        <v>46</v>
      </c>
      <c r="C23" s="113" t="s">
        <v>34</v>
      </c>
      <c r="D23" s="114">
        <v>8</v>
      </c>
      <c r="E23" s="115"/>
      <c r="F23" s="115">
        <f t="shared" ref="F23" si="1">D23*E23</f>
        <v>0</v>
      </c>
      <c r="G23" s="123"/>
    </row>
    <row r="24" spans="1:7" ht="6.9" customHeight="1">
      <c r="A24" s="117"/>
      <c r="B24" s="125"/>
      <c r="C24" s="125"/>
      <c r="D24" s="125"/>
      <c r="E24" s="126"/>
      <c r="F24" s="126"/>
      <c r="G24" s="127"/>
    </row>
    <row r="25" spans="1:7">
      <c r="A25" s="105">
        <v>4</v>
      </c>
      <c r="B25" s="215" t="s">
        <v>47</v>
      </c>
      <c r="C25" s="216"/>
      <c r="D25" s="216"/>
      <c r="E25" s="216"/>
      <c r="F25" s="217"/>
      <c r="G25" s="106">
        <f>SUM(F27:F28)</f>
        <v>0</v>
      </c>
    </row>
    <row r="26" spans="1:7">
      <c r="A26" s="128"/>
      <c r="B26" s="124"/>
      <c r="C26" s="113"/>
      <c r="D26" s="114"/>
      <c r="E26" s="115"/>
      <c r="F26" s="115"/>
      <c r="G26" s="123"/>
    </row>
    <row r="27" spans="1:7" ht="82.8">
      <c r="A27" s="128" t="s">
        <v>48</v>
      </c>
      <c r="B27" s="124" t="s">
        <v>49</v>
      </c>
      <c r="C27" s="113" t="s">
        <v>34</v>
      </c>
      <c r="D27" s="114">
        <f>24.37*2.92</f>
        <v>71.160399999999996</v>
      </c>
      <c r="E27" s="115"/>
      <c r="F27" s="115">
        <f>+D27*E27</f>
        <v>0</v>
      </c>
      <c r="G27" s="123"/>
    </row>
    <row r="28" spans="1:7" ht="27.6">
      <c r="A28" s="128" t="s">
        <v>50</v>
      </c>
      <c r="B28" s="129" t="s">
        <v>51</v>
      </c>
      <c r="C28" s="113" t="s">
        <v>34</v>
      </c>
      <c r="D28" s="114">
        <f>+(3.53+4.67+3.43)*3.07+D27</f>
        <v>106.86449999999999</v>
      </c>
      <c r="E28" s="115"/>
      <c r="F28" s="115">
        <f>+D28*E28</f>
        <v>0</v>
      </c>
      <c r="G28" s="123"/>
    </row>
    <row r="29" spans="1:7">
      <c r="A29" s="128"/>
      <c r="B29" s="124"/>
      <c r="C29" s="113"/>
      <c r="D29" s="114"/>
      <c r="E29" s="115"/>
      <c r="F29" s="115"/>
      <c r="G29" s="123"/>
    </row>
    <row r="30" spans="1:7">
      <c r="A30" s="105">
        <v>5</v>
      </c>
      <c r="B30" s="215" t="s">
        <v>56</v>
      </c>
      <c r="C30" s="216"/>
      <c r="D30" s="216"/>
      <c r="E30" s="216"/>
      <c r="F30" s="217"/>
      <c r="G30" s="106">
        <f>+SUM(F33:F36)</f>
        <v>0</v>
      </c>
    </row>
    <row r="31" spans="1:7" ht="6.9" customHeight="1">
      <c r="A31" s="128"/>
      <c r="B31" s="124"/>
      <c r="C31" s="130"/>
      <c r="D31" s="114"/>
      <c r="E31" s="115"/>
      <c r="F31" s="115"/>
      <c r="G31" s="123"/>
    </row>
    <row r="32" spans="1:7">
      <c r="A32" s="128" t="s">
        <v>57</v>
      </c>
      <c r="B32" s="131" t="s">
        <v>58</v>
      </c>
      <c r="C32" s="130"/>
      <c r="D32" s="114"/>
      <c r="E32" s="115"/>
      <c r="F32" s="115"/>
      <c r="G32" s="123"/>
    </row>
    <row r="33" spans="1:7" ht="69">
      <c r="A33" s="128" t="s">
        <v>59</v>
      </c>
      <c r="B33" s="124" t="s">
        <v>63</v>
      </c>
      <c r="C33" s="113" t="s">
        <v>61</v>
      </c>
      <c r="D33" s="114">
        <v>1</v>
      </c>
      <c r="E33" s="115"/>
      <c r="F33" s="115">
        <f>+D33*E33</f>
        <v>0</v>
      </c>
      <c r="G33" s="123"/>
    </row>
    <row r="34" spans="1:7" ht="69">
      <c r="A34" s="128" t="s">
        <v>62</v>
      </c>
      <c r="B34" s="124" t="s">
        <v>65</v>
      </c>
      <c r="C34" s="113" t="s">
        <v>61</v>
      </c>
      <c r="D34" s="114">
        <v>1</v>
      </c>
      <c r="E34" s="115"/>
      <c r="F34" s="115">
        <f>+D34*E34</f>
        <v>0</v>
      </c>
      <c r="G34" s="123"/>
    </row>
    <row r="35" spans="1:7" ht="55.2">
      <c r="A35" s="128" t="s">
        <v>64</v>
      </c>
      <c r="B35" s="132" t="s">
        <v>67</v>
      </c>
      <c r="C35" s="113" t="s">
        <v>34</v>
      </c>
      <c r="D35" s="133">
        <f>+(0.65+1.83)*2.1</f>
        <v>5.2080000000000002</v>
      </c>
      <c r="E35" s="134"/>
      <c r="F35" s="115">
        <f t="shared" ref="F35:F36" si="2">+D35*E35</f>
        <v>0</v>
      </c>
      <c r="G35" s="135"/>
    </row>
    <row r="36" spans="1:7" ht="55.2">
      <c r="A36" s="128" t="s">
        <v>66</v>
      </c>
      <c r="B36" s="132" t="s">
        <v>69</v>
      </c>
      <c r="C36" s="113" t="s">
        <v>34</v>
      </c>
      <c r="D36" s="133">
        <v>3.4</v>
      </c>
      <c r="E36" s="134"/>
      <c r="F36" s="115">
        <f t="shared" si="2"/>
        <v>0</v>
      </c>
      <c r="G36" s="135"/>
    </row>
    <row r="37" spans="1:7">
      <c r="A37" s="136"/>
      <c r="B37" s="129"/>
      <c r="C37" s="137"/>
      <c r="D37" s="133"/>
      <c r="E37" s="134"/>
      <c r="F37" s="138"/>
      <c r="G37" s="135"/>
    </row>
    <row r="38" spans="1:7">
      <c r="A38" s="105">
        <v>6</v>
      </c>
      <c r="B38" s="215" t="s">
        <v>70</v>
      </c>
      <c r="C38" s="216"/>
      <c r="D38" s="216"/>
      <c r="E38" s="216"/>
      <c r="F38" s="217"/>
      <c r="G38" s="106">
        <f>+SUM(F40)</f>
        <v>0</v>
      </c>
    </row>
    <row r="39" spans="1:7" ht="6.9" customHeight="1">
      <c r="A39" s="128"/>
      <c r="B39" s="124"/>
      <c r="C39" s="130"/>
      <c r="D39" s="114"/>
      <c r="E39" s="115"/>
      <c r="F39" s="115"/>
      <c r="G39" s="123"/>
    </row>
    <row r="40" spans="1:7" ht="55.2">
      <c r="A40" s="128" t="s">
        <v>71</v>
      </c>
      <c r="B40" s="124" t="s">
        <v>72</v>
      </c>
      <c r="C40" s="113" t="s">
        <v>73</v>
      </c>
      <c r="D40" s="114">
        <v>1</v>
      </c>
      <c r="E40" s="115"/>
      <c r="F40" s="115">
        <f t="shared" ref="F40" si="3">D40*E40</f>
        <v>0</v>
      </c>
      <c r="G40" s="123"/>
    </row>
    <row r="41" spans="1:7">
      <c r="A41" s="128"/>
      <c r="B41" s="124"/>
      <c r="C41" s="113"/>
      <c r="D41" s="114"/>
      <c r="E41" s="115"/>
      <c r="F41" s="115"/>
      <c r="G41" s="123"/>
    </row>
    <row r="42" spans="1:7">
      <c r="A42" s="105">
        <v>7</v>
      </c>
      <c r="B42" s="215" t="s">
        <v>74</v>
      </c>
      <c r="C42" s="216"/>
      <c r="D42" s="216"/>
      <c r="E42" s="216"/>
      <c r="F42" s="217"/>
      <c r="G42" s="106">
        <f>SUM(F44:F46)</f>
        <v>0</v>
      </c>
    </row>
    <row r="43" spans="1:7">
      <c r="A43" s="136"/>
      <c r="B43" s="129"/>
      <c r="C43" s="139"/>
      <c r="D43" s="133"/>
      <c r="E43" s="134"/>
      <c r="F43" s="138"/>
      <c r="G43" s="135"/>
    </row>
    <row r="44" spans="1:7" ht="57">
      <c r="A44" s="136" t="s">
        <v>75</v>
      </c>
      <c r="B44" s="124" t="s">
        <v>143</v>
      </c>
      <c r="C44" s="113" t="s">
        <v>73</v>
      </c>
      <c r="D44" s="133">
        <v>1</v>
      </c>
      <c r="E44" s="134"/>
      <c r="F44" s="138">
        <f t="shared" ref="F44:F45" si="4">+D44*E44</f>
        <v>0</v>
      </c>
      <c r="G44" s="135"/>
    </row>
    <row r="45" spans="1:7" ht="57">
      <c r="A45" s="136" t="s">
        <v>147</v>
      </c>
      <c r="B45" s="124" t="s">
        <v>158</v>
      </c>
      <c r="C45" s="113" t="s">
        <v>73</v>
      </c>
      <c r="D45" s="133">
        <v>1</v>
      </c>
      <c r="E45" s="134"/>
      <c r="F45" s="138">
        <f t="shared" si="4"/>
        <v>0</v>
      </c>
      <c r="G45" s="135"/>
    </row>
    <row r="46" spans="1:7" ht="57">
      <c r="A46" s="136" t="s">
        <v>159</v>
      </c>
      <c r="B46" s="124" t="s">
        <v>145</v>
      </c>
      <c r="C46" s="113" t="s">
        <v>73</v>
      </c>
      <c r="D46" s="133">
        <v>1</v>
      </c>
      <c r="E46" s="134"/>
      <c r="F46" s="138">
        <f>+D46*E46</f>
        <v>0</v>
      </c>
      <c r="G46" s="135"/>
    </row>
    <row r="47" spans="1:7">
      <c r="A47" s="128"/>
      <c r="B47" s="124"/>
      <c r="C47" s="113"/>
      <c r="D47" s="114"/>
      <c r="E47" s="115"/>
      <c r="F47" s="115"/>
      <c r="G47" s="123"/>
    </row>
    <row r="48" spans="1:7">
      <c r="A48" s="105">
        <v>8</v>
      </c>
      <c r="B48" s="215" t="s">
        <v>93</v>
      </c>
      <c r="C48" s="216"/>
      <c r="D48" s="216"/>
      <c r="E48" s="216"/>
      <c r="F48" s="217"/>
      <c r="G48" s="106">
        <f>SUM(F50:F50)</f>
        <v>0</v>
      </c>
    </row>
    <row r="49" spans="1:7">
      <c r="A49" s="136"/>
      <c r="B49" s="129"/>
      <c r="C49" s="139"/>
      <c r="D49" s="133"/>
      <c r="E49" s="134"/>
      <c r="F49" s="138"/>
      <c r="G49" s="135"/>
    </row>
    <row r="50" spans="1:7" ht="69">
      <c r="A50" s="136" t="s">
        <v>78</v>
      </c>
      <c r="B50" s="129" t="s">
        <v>94</v>
      </c>
      <c r="C50" s="139" t="s">
        <v>73</v>
      </c>
      <c r="D50" s="133">
        <v>1</v>
      </c>
      <c r="E50" s="134"/>
      <c r="F50" s="138">
        <f>+D50*E50</f>
        <v>0</v>
      </c>
      <c r="G50" s="135"/>
    </row>
    <row r="51" spans="1:7">
      <c r="A51" s="128"/>
      <c r="B51" s="124"/>
      <c r="C51" s="113"/>
      <c r="D51" s="114"/>
      <c r="E51" s="115"/>
      <c r="F51" s="115"/>
      <c r="G51" s="123"/>
    </row>
    <row r="52" spans="1:7">
      <c r="A52" s="105">
        <v>9</v>
      </c>
      <c r="B52" s="215" t="s">
        <v>128</v>
      </c>
      <c r="C52" s="216"/>
      <c r="D52" s="216"/>
      <c r="E52" s="216"/>
      <c r="F52" s="217"/>
      <c r="G52" s="106">
        <f>SUM(F54:F55)</f>
        <v>0</v>
      </c>
    </row>
    <row r="53" spans="1:7">
      <c r="A53" s="128"/>
      <c r="B53" s="124"/>
      <c r="C53" s="113"/>
      <c r="D53" s="114"/>
      <c r="E53" s="115"/>
      <c r="F53" s="115"/>
      <c r="G53" s="123"/>
    </row>
    <row r="54" spans="1:7" ht="69">
      <c r="A54" s="128" t="s">
        <v>82</v>
      </c>
      <c r="B54" s="129" t="s">
        <v>79</v>
      </c>
      <c r="C54" s="140" t="s">
        <v>73</v>
      </c>
      <c r="D54" s="114">
        <v>1</v>
      </c>
      <c r="E54" s="115"/>
      <c r="F54" s="115">
        <f>+D54*E54</f>
        <v>0</v>
      </c>
      <c r="G54" s="123"/>
    </row>
    <row r="55" spans="1:7" ht="55.2">
      <c r="A55" s="128" t="s">
        <v>84</v>
      </c>
      <c r="B55" s="132" t="s">
        <v>67</v>
      </c>
      <c r="C55" s="113" t="s">
        <v>34</v>
      </c>
      <c r="D55" s="114">
        <f>1.8*0.6</f>
        <v>1.08</v>
      </c>
      <c r="E55" s="115"/>
      <c r="F55" s="115">
        <f>+D55*E55</f>
        <v>0</v>
      </c>
      <c r="G55" s="123"/>
    </row>
    <row r="56" spans="1:7">
      <c r="A56" s="128"/>
      <c r="B56" s="129"/>
      <c r="C56" s="113"/>
      <c r="D56" s="114"/>
      <c r="E56" s="115"/>
      <c r="F56" s="115"/>
      <c r="G56" s="123"/>
    </row>
    <row r="57" spans="1:7">
      <c r="A57" s="105">
        <v>10</v>
      </c>
      <c r="B57" s="215" t="s">
        <v>129</v>
      </c>
      <c r="C57" s="216"/>
      <c r="D57" s="216"/>
      <c r="E57" s="216"/>
      <c r="F57" s="217"/>
      <c r="G57" s="106">
        <f>SUM(F59:F61)</f>
        <v>0</v>
      </c>
    </row>
    <row r="58" spans="1:7">
      <c r="A58" s="128"/>
      <c r="B58" s="141"/>
      <c r="C58" s="140"/>
      <c r="D58" s="142"/>
      <c r="E58" s="143"/>
      <c r="F58" s="143"/>
      <c r="G58" s="144"/>
    </row>
    <row r="59" spans="1:7" ht="41.4">
      <c r="A59" s="128" t="s">
        <v>87</v>
      </c>
      <c r="B59" s="129" t="s">
        <v>160</v>
      </c>
      <c r="C59" s="140" t="s">
        <v>61</v>
      </c>
      <c r="D59" s="114">
        <v>1</v>
      </c>
      <c r="E59" s="115"/>
      <c r="F59" s="115">
        <f>+D59*E59</f>
        <v>0</v>
      </c>
      <c r="G59" s="123"/>
    </row>
    <row r="60" spans="1:7" ht="41.4">
      <c r="A60" s="128" t="s">
        <v>99</v>
      </c>
      <c r="B60" s="132" t="s">
        <v>161</v>
      </c>
      <c r="C60" s="113" t="s">
        <v>61</v>
      </c>
      <c r="D60" s="114">
        <v>1</v>
      </c>
      <c r="E60" s="134"/>
      <c r="F60" s="115">
        <f t="shared" ref="F60:F61" si="5">+D60*E60</f>
        <v>0</v>
      </c>
      <c r="G60" s="135"/>
    </row>
    <row r="61" spans="1:7" ht="41.4">
      <c r="A61" s="128" t="s">
        <v>162</v>
      </c>
      <c r="B61" s="132" t="s">
        <v>151</v>
      </c>
      <c r="C61" s="113" t="s">
        <v>61</v>
      </c>
      <c r="D61" s="114">
        <v>1</v>
      </c>
      <c r="E61" s="134"/>
      <c r="F61" s="115">
        <f t="shared" si="5"/>
        <v>0</v>
      </c>
      <c r="G61" s="135"/>
    </row>
    <row r="62" spans="1:7" ht="15" thickBot="1">
      <c r="A62" s="128"/>
      <c r="B62" s="150"/>
      <c r="C62" s="113"/>
      <c r="D62" s="151"/>
      <c r="E62" s="115"/>
      <c r="F62" s="115"/>
      <c r="G62" s="123"/>
    </row>
    <row r="63" spans="1:7">
      <c r="A63" s="147"/>
      <c r="B63" s="224"/>
      <c r="C63" s="225"/>
      <c r="D63" s="225"/>
      <c r="E63" s="225"/>
      <c r="F63" s="226"/>
      <c r="G63" s="227">
        <f>SUM(G10:G62)</f>
        <v>0</v>
      </c>
    </row>
    <row r="64" spans="1:7" ht="15" thickBot="1">
      <c r="A64" s="148"/>
      <c r="B64" s="229" t="s">
        <v>89</v>
      </c>
      <c r="C64" s="230"/>
      <c r="D64" s="230"/>
      <c r="E64" s="230"/>
      <c r="F64" s="231"/>
      <c r="G64" s="228"/>
    </row>
  </sheetData>
  <mergeCells count="22">
    <mergeCell ref="B63:F63"/>
    <mergeCell ref="G63:G64"/>
    <mergeCell ref="B64:F64"/>
    <mergeCell ref="B38:F38"/>
    <mergeCell ref="B42:F42"/>
    <mergeCell ref="B48:F48"/>
    <mergeCell ref="B52:F52"/>
    <mergeCell ref="B57:F57"/>
    <mergeCell ref="F4:G4"/>
    <mergeCell ref="F5:G5"/>
    <mergeCell ref="F7:G7"/>
    <mergeCell ref="B30:F30"/>
    <mergeCell ref="A9:G9"/>
    <mergeCell ref="B10:F10"/>
    <mergeCell ref="B15:F15"/>
    <mergeCell ref="B21:F21"/>
    <mergeCell ref="B25:F25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BreakPreview" zoomScale="85" zoomScaleNormal="85" zoomScaleSheetLayoutView="85" workbookViewId="0">
      <selection activeCell="D19" sqref="D19"/>
    </sheetView>
  </sheetViews>
  <sheetFormatPr defaultRowHeight="14.4"/>
  <cols>
    <col min="1" max="1" width="7.109375" bestFit="1" customWidth="1"/>
    <col min="2" max="2" width="108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1.44140625" bestFit="1" customWidth="1"/>
    <col min="7" max="7" width="12.109375" customWidth="1"/>
    <col min="10" max="10" width="18.5546875" bestFit="1" customWidth="1"/>
  </cols>
  <sheetData>
    <row r="1" spans="1:7">
      <c r="A1" s="177" t="s">
        <v>11</v>
      </c>
      <c r="B1" s="203" t="s">
        <v>90</v>
      </c>
      <c r="C1" s="203"/>
      <c r="D1" s="203"/>
      <c r="E1" s="203"/>
      <c r="F1" s="178"/>
      <c r="G1" s="177"/>
    </row>
    <row r="2" spans="1:7">
      <c r="A2" s="177" t="s">
        <v>13</v>
      </c>
      <c r="B2" s="179"/>
      <c r="C2" s="177"/>
      <c r="D2" s="177"/>
      <c r="E2" s="180"/>
      <c r="F2" s="204"/>
      <c r="G2" s="204"/>
    </row>
    <row r="3" spans="1:7">
      <c r="A3" s="177"/>
      <c r="B3" s="203"/>
      <c r="C3" s="203"/>
      <c r="D3" s="203"/>
      <c r="E3" s="203"/>
      <c r="F3" s="204" t="s">
        <v>16</v>
      </c>
      <c r="G3" s="204"/>
    </row>
    <row r="4" spans="1:7" ht="15" thickBot="1">
      <c r="A4" s="177"/>
      <c r="B4" s="179"/>
      <c r="C4" s="177"/>
      <c r="D4" s="177"/>
      <c r="E4" s="181"/>
      <c r="F4" s="181"/>
      <c r="G4" s="177"/>
    </row>
    <row r="5" spans="1:7" ht="15" thickBot="1">
      <c r="A5" s="199" t="s">
        <v>17</v>
      </c>
      <c r="B5" s="199" t="s">
        <v>18</v>
      </c>
      <c r="C5" s="199" t="s">
        <v>19</v>
      </c>
      <c r="D5" s="201" t="s">
        <v>20</v>
      </c>
      <c r="E5" s="205" t="s">
        <v>21</v>
      </c>
      <c r="F5" s="199" t="s">
        <v>22</v>
      </c>
      <c r="G5" s="199"/>
    </row>
    <row r="6" spans="1:7" ht="15" thickBot="1">
      <c r="A6" s="199"/>
      <c r="B6" s="199" t="s">
        <v>23</v>
      </c>
      <c r="C6" s="199" t="s">
        <v>24</v>
      </c>
      <c r="D6" s="201" t="s">
        <v>25</v>
      </c>
      <c r="E6" s="205"/>
      <c r="F6" s="182" t="s">
        <v>26</v>
      </c>
      <c r="G6" s="183" t="s">
        <v>27</v>
      </c>
    </row>
    <row r="7" spans="1:7" ht="15" thickBot="1">
      <c r="A7" s="199"/>
      <c r="B7" s="199"/>
      <c r="C7" s="199"/>
      <c r="D7" s="199"/>
      <c r="E7" s="199"/>
      <c r="F7" s="199"/>
      <c r="G7" s="199"/>
    </row>
    <row r="8" spans="1:7" ht="15" thickBot="1">
      <c r="A8" s="184">
        <v>0</v>
      </c>
      <c r="B8" s="200" t="s">
        <v>221</v>
      </c>
      <c r="C8" s="200"/>
      <c r="D8" s="200"/>
      <c r="E8" s="200"/>
      <c r="F8" s="200"/>
      <c r="G8" s="185">
        <f>SUM(F10:F10)</f>
        <v>0</v>
      </c>
    </row>
    <row r="9" spans="1:7">
      <c r="A9" s="186"/>
      <c r="B9" s="187"/>
      <c r="C9" s="179"/>
      <c r="D9" s="179"/>
      <c r="E9" s="178"/>
      <c r="F9" s="178"/>
      <c r="G9" s="188"/>
    </row>
    <row r="10" spans="1:7" ht="82.2" customHeight="1">
      <c r="A10" s="189"/>
      <c r="B10" s="56" t="s">
        <v>222</v>
      </c>
      <c r="C10" s="190" t="s">
        <v>61</v>
      </c>
      <c r="D10" s="191">
        <v>1</v>
      </c>
      <c r="E10" s="192"/>
      <c r="F10" s="192">
        <f t="shared" ref="F10" si="0">D10*E10</f>
        <v>0</v>
      </c>
      <c r="G10" s="193"/>
    </row>
    <row r="11" spans="1:7" ht="15" thickBot="1">
      <c r="A11" s="194"/>
      <c r="B11" s="195"/>
      <c r="C11" s="195"/>
      <c r="D11" s="195"/>
      <c r="E11" s="196"/>
      <c r="F11" s="196"/>
      <c r="G11" s="197"/>
    </row>
    <row r="12" spans="1:7" ht="15" thickBot="1">
      <c r="A12" s="198"/>
      <c r="B12" s="201"/>
      <c r="C12" s="201"/>
      <c r="D12" s="201"/>
      <c r="E12" s="201"/>
      <c r="F12" s="201"/>
      <c r="G12" s="201">
        <f>G8</f>
        <v>0</v>
      </c>
    </row>
    <row r="13" spans="1:7" ht="15" thickBot="1">
      <c r="A13" s="198"/>
      <c r="B13" s="202" t="s">
        <v>89</v>
      </c>
      <c r="C13" s="202"/>
      <c r="D13" s="202"/>
      <c r="E13" s="202"/>
      <c r="F13" s="202"/>
      <c r="G13" s="199"/>
    </row>
    <row r="16" spans="1:7" ht="15" customHeight="1"/>
  </sheetData>
  <mergeCells count="15">
    <mergeCell ref="B1:E1"/>
    <mergeCell ref="F2:G2"/>
    <mergeCell ref="B3:E3"/>
    <mergeCell ref="F3:G3"/>
    <mergeCell ref="A5:A6"/>
    <mergeCell ref="B5:B6"/>
    <mergeCell ref="C5:C6"/>
    <mergeCell ref="D5:D6"/>
    <mergeCell ref="E5:E6"/>
    <mergeCell ref="F5:G5"/>
    <mergeCell ref="A7:G7"/>
    <mergeCell ref="B8:F8"/>
    <mergeCell ref="B12:F12"/>
    <mergeCell ref="G12:G13"/>
    <mergeCell ref="B13:F13"/>
  </mergeCells>
  <pageMargins left="0.7" right="0.7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E30" sqref="E30"/>
    </sheetView>
  </sheetViews>
  <sheetFormatPr defaultRowHeight="14.4"/>
  <cols>
    <col min="1" max="1" width="9" style="94" bestFit="1" customWidth="1"/>
    <col min="2" max="2" width="39.5546875" style="95" customWidth="1"/>
    <col min="3" max="3" width="4.5546875" style="95" customWidth="1"/>
    <col min="4" max="4" width="6.5546875" style="95" customWidth="1"/>
    <col min="5" max="5" width="11.44140625" style="96" customWidth="1"/>
    <col min="6" max="6" width="12.33203125" style="96" bestFit="1" customWidth="1"/>
    <col min="7" max="7" width="16.33203125" style="95" customWidth="1"/>
  </cols>
  <sheetData>
    <row r="1" spans="1:7" ht="8.1" customHeight="1"/>
    <row r="2" spans="1:7">
      <c r="A2" s="97" t="s">
        <v>10</v>
      </c>
      <c r="B2" s="97"/>
      <c r="C2" s="97"/>
      <c r="D2" s="97"/>
      <c r="E2" s="98"/>
      <c r="F2" s="99"/>
      <c r="G2" s="97"/>
    </row>
    <row r="3" spans="1:7">
      <c r="A3" s="100" t="s">
        <v>11</v>
      </c>
      <c r="B3" s="97" t="s">
        <v>12</v>
      </c>
      <c r="C3" s="100"/>
      <c r="E3" s="101"/>
      <c r="F3" s="101"/>
      <c r="G3" s="100"/>
    </row>
    <row r="4" spans="1:7">
      <c r="A4" s="100" t="s">
        <v>13</v>
      </c>
      <c r="B4" s="97"/>
      <c r="C4" s="100"/>
      <c r="D4" s="100"/>
      <c r="E4" s="98"/>
      <c r="F4" s="206"/>
      <c r="G4" s="206"/>
    </row>
    <row r="5" spans="1:7">
      <c r="A5" s="100" t="s">
        <v>14</v>
      </c>
      <c r="B5" s="97" t="s">
        <v>15</v>
      </c>
      <c r="C5" s="100"/>
      <c r="D5" s="100"/>
      <c r="E5" s="98"/>
      <c r="F5" s="206" t="s">
        <v>16</v>
      </c>
      <c r="G5" s="206"/>
    </row>
    <row r="6" spans="1:7" ht="15" thickBot="1">
      <c r="A6" s="100"/>
      <c r="B6" s="97"/>
      <c r="C6" s="100"/>
      <c r="D6" s="100"/>
      <c r="E6" s="102"/>
      <c r="F6" s="102"/>
      <c r="G6" s="100"/>
    </row>
    <row r="7" spans="1:7" ht="15" thickBot="1">
      <c r="A7" s="218" t="s">
        <v>17</v>
      </c>
      <c r="B7" s="218" t="s">
        <v>18</v>
      </c>
      <c r="C7" s="218" t="s">
        <v>19</v>
      </c>
      <c r="D7" s="220" t="s">
        <v>20</v>
      </c>
      <c r="E7" s="222" t="s">
        <v>21</v>
      </c>
      <c r="F7" s="207" t="s">
        <v>22</v>
      </c>
      <c r="G7" s="208"/>
    </row>
    <row r="8" spans="1:7" ht="15" thickBot="1">
      <c r="A8" s="219"/>
      <c r="B8" s="219" t="s">
        <v>23</v>
      </c>
      <c r="C8" s="219" t="s">
        <v>24</v>
      </c>
      <c r="D8" s="221" t="s">
        <v>25</v>
      </c>
      <c r="E8" s="223"/>
      <c r="F8" s="103" t="s">
        <v>26</v>
      </c>
      <c r="G8" s="104" t="s">
        <v>27</v>
      </c>
    </row>
    <row r="9" spans="1:7" ht="12" customHeight="1">
      <c r="A9" s="212"/>
      <c r="B9" s="213"/>
      <c r="C9" s="213"/>
      <c r="D9" s="213"/>
      <c r="E9" s="213"/>
      <c r="F9" s="213"/>
      <c r="G9" s="214"/>
    </row>
    <row r="10" spans="1:7">
      <c r="A10" s="105">
        <v>1</v>
      </c>
      <c r="B10" s="215" t="s">
        <v>28</v>
      </c>
      <c r="C10" s="216"/>
      <c r="D10" s="216"/>
      <c r="E10" s="216"/>
      <c r="F10" s="217"/>
      <c r="G10" s="106">
        <f>+SUM(F12:F14)</f>
        <v>0</v>
      </c>
    </row>
    <row r="11" spans="1:7" ht="6.9" customHeight="1">
      <c r="A11" s="107"/>
      <c r="B11" s="108"/>
      <c r="C11" s="108"/>
      <c r="D11" s="108"/>
      <c r="E11" s="109"/>
      <c r="F11" s="109"/>
      <c r="G11" s="110"/>
    </row>
    <row r="12" spans="1:7" ht="55.2">
      <c r="A12" s="111" t="s">
        <v>29</v>
      </c>
      <c r="B12" s="112" t="s">
        <v>30</v>
      </c>
      <c r="C12" s="113" t="s">
        <v>31</v>
      </c>
      <c r="D12" s="114">
        <f>+(12.3+20.15)*0.15</f>
        <v>4.8675000000000006</v>
      </c>
      <c r="E12" s="115"/>
      <c r="F12" s="115">
        <f>+D12*E12</f>
        <v>0</v>
      </c>
      <c r="G12" s="116"/>
    </row>
    <row r="13" spans="1:7" ht="55.2">
      <c r="A13" s="111" t="s">
        <v>32</v>
      </c>
      <c r="B13" s="112" t="s">
        <v>33</v>
      </c>
      <c r="C13" s="113" t="s">
        <v>34</v>
      </c>
      <c r="D13" s="114">
        <v>22.73</v>
      </c>
      <c r="E13" s="115"/>
      <c r="F13" s="115">
        <f>D13*E13</f>
        <v>0</v>
      </c>
      <c r="G13" s="116"/>
    </row>
    <row r="14" spans="1:7" ht="55.2">
      <c r="A14" s="111" t="s">
        <v>35</v>
      </c>
      <c r="B14" s="112" t="s">
        <v>36</v>
      </c>
      <c r="C14" s="113" t="s">
        <v>31</v>
      </c>
      <c r="D14" s="114">
        <v>2.4</v>
      </c>
      <c r="E14" s="115"/>
      <c r="F14" s="115">
        <f>D14*E14</f>
        <v>0</v>
      </c>
      <c r="G14" s="116"/>
    </row>
    <row r="15" spans="1:7" ht="6.9" customHeight="1">
      <c r="A15" s="117"/>
      <c r="B15" s="118"/>
      <c r="C15" s="118"/>
      <c r="D15" s="118"/>
      <c r="E15" s="119"/>
      <c r="F15" s="115"/>
      <c r="G15" s="120"/>
    </row>
    <row r="16" spans="1:7">
      <c r="A16" s="105">
        <v>2</v>
      </c>
      <c r="B16" s="209" t="s">
        <v>37</v>
      </c>
      <c r="C16" s="210"/>
      <c r="D16" s="210"/>
      <c r="E16" s="210"/>
      <c r="F16" s="211"/>
      <c r="G16" s="106">
        <f>SUM(F18:F20)</f>
        <v>0</v>
      </c>
    </row>
    <row r="17" spans="1:7">
      <c r="A17" s="107"/>
      <c r="B17" s="108"/>
      <c r="C17" s="108"/>
      <c r="D17" s="108"/>
      <c r="E17" s="109"/>
      <c r="F17" s="109"/>
      <c r="G17" s="110"/>
    </row>
    <row r="18" spans="1:7" ht="96.6">
      <c r="A18" s="111" t="s">
        <v>38</v>
      </c>
      <c r="B18" s="121" t="s">
        <v>39</v>
      </c>
      <c r="C18" s="122"/>
      <c r="D18" s="114"/>
      <c r="E18" s="115"/>
      <c r="F18" s="115"/>
      <c r="G18" s="123"/>
    </row>
    <row r="19" spans="1:7" ht="16.8">
      <c r="A19" s="111" t="s">
        <v>40</v>
      </c>
      <c r="B19" s="121" t="s">
        <v>41</v>
      </c>
      <c r="C19" s="113" t="s">
        <v>31</v>
      </c>
      <c r="D19" s="115">
        <f>7.73*0.2*0.4*2+3.5*0.2*0.4*3+4.65*0.2*0.4*2+2.15*0.2*0.4*2</f>
        <v>3.1648000000000005</v>
      </c>
      <c r="E19" s="115"/>
      <c r="F19" s="115">
        <f t="shared" ref="F19:F20" si="0">D19*E19</f>
        <v>0</v>
      </c>
      <c r="G19" s="123"/>
    </row>
    <row r="20" spans="1:7" ht="16.8">
      <c r="A20" s="111" t="s">
        <v>42</v>
      </c>
      <c r="B20" s="121" t="s">
        <v>43</v>
      </c>
      <c r="C20" s="113" t="s">
        <v>31</v>
      </c>
      <c r="D20" s="114">
        <f>+(14.69+25.28)*0.15</f>
        <v>5.9954999999999998</v>
      </c>
      <c r="E20" s="115"/>
      <c r="F20" s="115">
        <f t="shared" si="0"/>
        <v>0</v>
      </c>
      <c r="G20" s="123"/>
    </row>
    <row r="21" spans="1:7">
      <c r="A21" s="111"/>
      <c r="B21" s="121"/>
      <c r="C21" s="113"/>
      <c r="D21" s="114"/>
      <c r="E21" s="115"/>
      <c r="F21" s="115"/>
      <c r="G21" s="123"/>
    </row>
    <row r="22" spans="1:7">
      <c r="A22" s="105">
        <v>3</v>
      </c>
      <c r="B22" s="215" t="s">
        <v>44</v>
      </c>
      <c r="C22" s="216"/>
      <c r="D22" s="216"/>
      <c r="E22" s="216"/>
      <c r="F22" s="217"/>
      <c r="G22" s="106">
        <f>+F24</f>
        <v>0</v>
      </c>
    </row>
    <row r="23" spans="1:7">
      <c r="A23" s="111"/>
      <c r="B23" s="121"/>
      <c r="C23" s="113"/>
      <c r="D23" s="114"/>
      <c r="E23" s="115"/>
      <c r="F23" s="115"/>
      <c r="G23" s="123"/>
    </row>
    <row r="24" spans="1:7" ht="85.2">
      <c r="A24" s="111" t="s">
        <v>45</v>
      </c>
      <c r="B24" s="124" t="s">
        <v>46</v>
      </c>
      <c r="C24" s="113" t="s">
        <v>34</v>
      </c>
      <c r="D24" s="114">
        <v>5</v>
      </c>
      <c r="E24" s="115"/>
      <c r="F24" s="115">
        <f t="shared" ref="F24" si="1">D24*E24</f>
        <v>0</v>
      </c>
      <c r="G24" s="123"/>
    </row>
    <row r="25" spans="1:7" ht="6.9" customHeight="1">
      <c r="A25" s="117"/>
      <c r="B25" s="125"/>
      <c r="C25" s="125"/>
      <c r="D25" s="125"/>
      <c r="E25" s="126"/>
      <c r="F25" s="126"/>
      <c r="G25" s="127"/>
    </row>
    <row r="26" spans="1:7">
      <c r="A26" s="105">
        <v>4</v>
      </c>
      <c r="B26" s="209" t="s">
        <v>47</v>
      </c>
      <c r="C26" s="210"/>
      <c r="D26" s="210"/>
      <c r="E26" s="210"/>
      <c r="F26" s="211"/>
      <c r="G26" s="106">
        <f>SUM(F28:F31)</f>
        <v>0</v>
      </c>
    </row>
    <row r="27" spans="1:7">
      <c r="A27" s="128"/>
      <c r="B27" s="124"/>
      <c r="C27" s="113"/>
      <c r="D27" s="114"/>
      <c r="E27" s="115"/>
      <c r="F27" s="115"/>
      <c r="G27" s="123"/>
    </row>
    <row r="28" spans="1:7" ht="82.8">
      <c r="A28" s="128" t="s">
        <v>48</v>
      </c>
      <c r="B28" s="124" t="s">
        <v>49</v>
      </c>
      <c r="C28" s="113" t="s">
        <v>34</v>
      </c>
      <c r="D28" s="114">
        <f>26.9*3</f>
        <v>80.699999999999989</v>
      </c>
      <c r="E28" s="115"/>
      <c r="F28" s="115">
        <f>+D28*E28</f>
        <v>0</v>
      </c>
      <c r="G28" s="123"/>
    </row>
    <row r="29" spans="1:7" ht="27.6">
      <c r="A29" s="128" t="s">
        <v>50</v>
      </c>
      <c r="B29" s="129" t="s">
        <v>51</v>
      </c>
      <c r="C29" s="113" t="s">
        <v>34</v>
      </c>
      <c r="D29" s="114">
        <f>19.7*3+D28</f>
        <v>139.79999999999998</v>
      </c>
      <c r="E29" s="115"/>
      <c r="F29" s="115">
        <f>+D29*E29</f>
        <v>0</v>
      </c>
      <c r="G29" s="123"/>
    </row>
    <row r="30" spans="1:7" ht="27.6">
      <c r="A30" s="128" t="s">
        <v>52</v>
      </c>
      <c r="B30" s="129" t="s">
        <v>53</v>
      </c>
      <c r="C30" s="113" t="s">
        <v>34</v>
      </c>
      <c r="D30" s="114">
        <f>+(14.69+25.28)</f>
        <v>39.97</v>
      </c>
      <c r="E30" s="115"/>
      <c r="F30" s="115">
        <f>+D30*E30</f>
        <v>0</v>
      </c>
      <c r="G30" s="123"/>
    </row>
    <row r="31" spans="1:7" ht="55.2">
      <c r="A31" s="128" t="s">
        <v>54</v>
      </c>
      <c r="B31" s="124" t="s">
        <v>55</v>
      </c>
      <c r="C31" s="113" t="s">
        <v>34</v>
      </c>
      <c r="D31" s="114">
        <v>16</v>
      </c>
      <c r="E31" s="115"/>
      <c r="F31" s="115">
        <f>+D31*E31</f>
        <v>0</v>
      </c>
      <c r="G31" s="123"/>
    </row>
    <row r="32" spans="1:7">
      <c r="A32" s="128"/>
      <c r="B32" s="124"/>
      <c r="C32" s="113"/>
      <c r="D32" s="114"/>
      <c r="E32" s="115"/>
      <c r="F32" s="115"/>
      <c r="G32" s="123"/>
    </row>
    <row r="33" spans="1:7">
      <c r="A33" s="105">
        <v>5</v>
      </c>
      <c r="B33" s="209" t="s">
        <v>56</v>
      </c>
      <c r="C33" s="210"/>
      <c r="D33" s="210"/>
      <c r="E33" s="210"/>
      <c r="F33" s="211"/>
      <c r="G33" s="106">
        <f>+SUM(F36:F40)</f>
        <v>0</v>
      </c>
    </row>
    <row r="34" spans="1:7" ht="6.9" customHeight="1">
      <c r="A34" s="128"/>
      <c r="B34" s="124"/>
      <c r="C34" s="130"/>
      <c r="D34" s="114"/>
      <c r="E34" s="115"/>
      <c r="F34" s="115"/>
      <c r="G34" s="123"/>
    </row>
    <row r="35" spans="1:7">
      <c r="A35" s="128" t="s">
        <v>57</v>
      </c>
      <c r="B35" s="131" t="s">
        <v>58</v>
      </c>
      <c r="C35" s="130"/>
      <c r="D35" s="114"/>
      <c r="E35" s="115"/>
      <c r="F35" s="115"/>
      <c r="G35" s="123"/>
    </row>
    <row r="36" spans="1:7" ht="69">
      <c r="A36" s="128" t="s">
        <v>59</v>
      </c>
      <c r="B36" s="124" t="s">
        <v>60</v>
      </c>
      <c r="C36" s="113" t="s">
        <v>61</v>
      </c>
      <c r="D36" s="114">
        <v>1</v>
      </c>
      <c r="E36" s="115"/>
      <c r="F36" s="115">
        <f>D36*E36</f>
        <v>0</v>
      </c>
      <c r="G36" s="123"/>
    </row>
    <row r="37" spans="1:7" ht="69">
      <c r="A37" s="128" t="s">
        <v>62</v>
      </c>
      <c r="B37" s="124" t="s">
        <v>63</v>
      </c>
      <c r="C37" s="113" t="s">
        <v>61</v>
      </c>
      <c r="D37" s="114">
        <v>1</v>
      </c>
      <c r="E37" s="115"/>
      <c r="F37" s="115">
        <f t="shared" ref="F37:F40" si="2">D37*E37</f>
        <v>0</v>
      </c>
      <c r="G37" s="123"/>
    </row>
    <row r="38" spans="1:7" ht="69">
      <c r="A38" s="128" t="s">
        <v>64</v>
      </c>
      <c r="B38" s="124" t="s">
        <v>65</v>
      </c>
      <c r="C38" s="113" t="s">
        <v>61</v>
      </c>
      <c r="D38" s="114">
        <v>1</v>
      </c>
      <c r="E38" s="115"/>
      <c r="F38" s="115">
        <f t="shared" si="2"/>
        <v>0</v>
      </c>
      <c r="G38" s="123"/>
    </row>
    <row r="39" spans="1:7" ht="55.2">
      <c r="A39" s="128" t="s">
        <v>66</v>
      </c>
      <c r="B39" s="132" t="s">
        <v>67</v>
      </c>
      <c r="C39" s="113" t="s">
        <v>34</v>
      </c>
      <c r="D39" s="133">
        <f>+(0.81+0.8+0.98+2.15)*2.1</f>
        <v>9.9540000000000006</v>
      </c>
      <c r="E39" s="134"/>
      <c r="F39" s="115">
        <f t="shared" si="2"/>
        <v>0</v>
      </c>
      <c r="G39" s="135"/>
    </row>
    <row r="40" spans="1:7" ht="55.2">
      <c r="A40" s="128" t="s">
        <v>68</v>
      </c>
      <c r="B40" s="132" t="s">
        <v>69</v>
      </c>
      <c r="C40" s="113" t="s">
        <v>34</v>
      </c>
      <c r="D40" s="133">
        <v>1.95</v>
      </c>
      <c r="E40" s="134"/>
      <c r="F40" s="115">
        <f t="shared" si="2"/>
        <v>0</v>
      </c>
      <c r="G40" s="135"/>
    </row>
    <row r="41" spans="1:7">
      <c r="A41" s="136"/>
      <c r="B41" s="129"/>
      <c r="C41" s="137"/>
      <c r="D41" s="133"/>
      <c r="E41" s="134"/>
      <c r="F41" s="138"/>
      <c r="G41" s="135"/>
    </row>
    <row r="42" spans="1:7">
      <c r="A42" s="105">
        <v>6</v>
      </c>
      <c r="B42" s="215" t="s">
        <v>70</v>
      </c>
      <c r="C42" s="216"/>
      <c r="D42" s="216"/>
      <c r="E42" s="216"/>
      <c r="F42" s="217"/>
      <c r="G42" s="106">
        <f>+SUM(F44)</f>
        <v>0</v>
      </c>
    </row>
    <row r="43" spans="1:7" ht="6.9" customHeight="1">
      <c r="A43" s="128"/>
      <c r="B43" s="124"/>
      <c r="C43" s="130"/>
      <c r="D43" s="114"/>
      <c r="E43" s="115"/>
      <c r="F43" s="115"/>
      <c r="G43" s="123"/>
    </row>
    <row r="44" spans="1:7" ht="55.2">
      <c r="A44" s="128" t="s">
        <v>71</v>
      </c>
      <c r="B44" s="124" t="s">
        <v>72</v>
      </c>
      <c r="C44" s="113" t="s">
        <v>73</v>
      </c>
      <c r="D44" s="114">
        <v>1</v>
      </c>
      <c r="E44" s="115"/>
      <c r="F44" s="115">
        <f t="shared" ref="F44" si="3">D44*E44</f>
        <v>0</v>
      </c>
      <c r="G44" s="123"/>
    </row>
    <row r="45" spans="1:7">
      <c r="A45" s="128"/>
      <c r="B45" s="124"/>
      <c r="C45" s="113"/>
      <c r="D45" s="114"/>
      <c r="E45" s="115"/>
      <c r="F45" s="115"/>
      <c r="G45" s="123"/>
    </row>
    <row r="46" spans="1:7">
      <c r="A46" s="105">
        <v>7</v>
      </c>
      <c r="B46" s="215" t="s">
        <v>74</v>
      </c>
      <c r="C46" s="216"/>
      <c r="D46" s="216"/>
      <c r="E46" s="216"/>
      <c r="F46" s="217"/>
      <c r="G46" s="106">
        <f>SUM(F48:F48)</f>
        <v>0</v>
      </c>
    </row>
    <row r="47" spans="1:7">
      <c r="A47" s="136"/>
      <c r="B47" s="129"/>
      <c r="C47" s="139"/>
      <c r="D47" s="133"/>
      <c r="E47" s="134"/>
      <c r="F47" s="138"/>
      <c r="G47" s="135"/>
    </row>
    <row r="48" spans="1:7" ht="55.2">
      <c r="A48" s="136" t="s">
        <v>75</v>
      </c>
      <c r="B48" s="129" t="s">
        <v>76</v>
      </c>
      <c r="C48" s="139" t="s">
        <v>73</v>
      </c>
      <c r="D48" s="133">
        <v>1</v>
      </c>
      <c r="E48" s="134"/>
      <c r="F48" s="138">
        <f>+D48*E48</f>
        <v>0</v>
      </c>
      <c r="G48" s="135"/>
    </row>
    <row r="49" spans="1:7">
      <c r="A49" s="128"/>
      <c r="B49" s="124"/>
      <c r="C49" s="113"/>
      <c r="D49" s="114"/>
      <c r="E49" s="115"/>
      <c r="F49" s="115"/>
      <c r="G49" s="123"/>
    </row>
    <row r="50" spans="1:7">
      <c r="A50" s="105">
        <v>8</v>
      </c>
      <c r="B50" s="215" t="s">
        <v>77</v>
      </c>
      <c r="C50" s="216"/>
      <c r="D50" s="216"/>
      <c r="E50" s="216"/>
      <c r="F50" s="217"/>
      <c r="G50" s="106">
        <f>SUM(F52:F53)</f>
        <v>0</v>
      </c>
    </row>
    <row r="51" spans="1:7">
      <c r="A51" s="128"/>
      <c r="B51" s="124"/>
      <c r="C51" s="113"/>
      <c r="D51" s="114"/>
      <c r="E51" s="115"/>
      <c r="F51" s="115"/>
      <c r="G51" s="123"/>
    </row>
    <row r="52" spans="1:7" ht="69">
      <c r="A52" s="128" t="s">
        <v>78</v>
      </c>
      <c r="B52" s="129" t="s">
        <v>79</v>
      </c>
      <c r="C52" s="140" t="s">
        <v>73</v>
      </c>
      <c r="D52" s="114">
        <v>1</v>
      </c>
      <c r="E52" s="115"/>
      <c r="F52" s="115">
        <f>+D52*E52</f>
        <v>0</v>
      </c>
      <c r="G52" s="123"/>
    </row>
    <row r="53" spans="1:7" ht="55.2">
      <c r="A53" s="128" t="s">
        <v>80</v>
      </c>
      <c r="B53" s="132" t="s">
        <v>67</v>
      </c>
      <c r="C53" s="113" t="s">
        <v>34</v>
      </c>
      <c r="D53" s="114">
        <f>2.15*0.6</f>
        <v>1.2899999999999998</v>
      </c>
      <c r="E53" s="115"/>
      <c r="F53" s="115">
        <f>+D53*E53</f>
        <v>0</v>
      </c>
      <c r="G53" s="123"/>
    </row>
    <row r="54" spans="1:7">
      <c r="A54" s="128"/>
      <c r="B54" s="129"/>
      <c r="C54" s="113"/>
      <c r="D54" s="114"/>
      <c r="E54" s="115"/>
      <c r="F54" s="115"/>
      <c r="G54" s="123"/>
    </row>
    <row r="55" spans="1:7">
      <c r="A55" s="105">
        <v>9</v>
      </c>
      <c r="B55" s="215" t="s">
        <v>81</v>
      </c>
      <c r="C55" s="216"/>
      <c r="D55" s="216"/>
      <c r="E55" s="216"/>
      <c r="F55" s="217"/>
      <c r="G55" s="106">
        <f>SUM(F57:F58)</f>
        <v>0</v>
      </c>
    </row>
    <row r="56" spans="1:7">
      <c r="A56" s="128"/>
      <c r="B56" s="141"/>
      <c r="C56" s="140"/>
      <c r="D56" s="142"/>
      <c r="E56" s="143"/>
      <c r="F56" s="143"/>
      <c r="G56" s="144"/>
    </row>
    <row r="57" spans="1:7" ht="41.4">
      <c r="A57" s="128" t="s">
        <v>82</v>
      </c>
      <c r="B57" s="129" t="s">
        <v>83</v>
      </c>
      <c r="C57" s="140" t="s">
        <v>61</v>
      </c>
      <c r="D57" s="114">
        <v>1</v>
      </c>
      <c r="E57" s="115"/>
      <c r="F57" s="115">
        <f>+D57*E57</f>
        <v>0</v>
      </c>
      <c r="G57" s="123"/>
    </row>
    <row r="58" spans="1:7" ht="41.4">
      <c r="A58" s="128" t="s">
        <v>84</v>
      </c>
      <c r="B58" s="132" t="s">
        <v>85</v>
      </c>
      <c r="C58" s="113" t="s">
        <v>61</v>
      </c>
      <c r="D58" s="114">
        <v>1</v>
      </c>
      <c r="E58" s="115"/>
      <c r="F58" s="115">
        <f>D58*E58</f>
        <v>0</v>
      </c>
      <c r="G58" s="123"/>
    </row>
    <row r="59" spans="1:7">
      <c r="A59" s="128"/>
      <c r="B59" s="129"/>
      <c r="C59" s="113"/>
      <c r="D59" s="114"/>
      <c r="E59" s="115"/>
      <c r="F59" s="115"/>
      <c r="G59" s="123"/>
    </row>
    <row r="60" spans="1:7">
      <c r="A60" s="105">
        <v>10</v>
      </c>
      <c r="B60" s="215" t="s">
        <v>86</v>
      </c>
      <c r="C60" s="216"/>
      <c r="D60" s="216"/>
      <c r="E60" s="216"/>
      <c r="F60" s="217"/>
      <c r="G60" s="106">
        <f>F62</f>
        <v>0</v>
      </c>
    </row>
    <row r="61" spans="1:7">
      <c r="A61" s="128"/>
      <c r="B61" s="141"/>
      <c r="C61" s="140"/>
      <c r="D61" s="142"/>
      <c r="E61" s="143"/>
      <c r="F61" s="143"/>
      <c r="G61" s="144"/>
    </row>
    <row r="62" spans="1:7" ht="110.4">
      <c r="A62" s="145" t="s">
        <v>87</v>
      </c>
      <c r="B62" s="129" t="s">
        <v>88</v>
      </c>
      <c r="C62" s="137" t="s">
        <v>73</v>
      </c>
      <c r="D62" s="133">
        <v>1</v>
      </c>
      <c r="E62" s="134">
        <v>0</v>
      </c>
      <c r="F62" s="134">
        <f>D62*E62</f>
        <v>0</v>
      </c>
      <c r="G62" s="146"/>
    </row>
    <row r="63" spans="1:7" ht="15" thickBot="1">
      <c r="A63" s="128"/>
      <c r="B63" s="129"/>
      <c r="C63" s="113"/>
      <c r="D63" s="114"/>
      <c r="E63" s="115"/>
      <c r="F63" s="115"/>
      <c r="G63" s="123"/>
    </row>
    <row r="64" spans="1:7">
      <c r="A64" s="147"/>
      <c r="B64" s="224"/>
      <c r="C64" s="225"/>
      <c r="D64" s="225"/>
      <c r="E64" s="225"/>
      <c r="F64" s="226"/>
      <c r="G64" s="227">
        <f>SUM(G10:G63)</f>
        <v>0</v>
      </c>
    </row>
    <row r="65" spans="1:7" ht="15" thickBot="1">
      <c r="A65" s="148"/>
      <c r="B65" s="229" t="s">
        <v>89</v>
      </c>
      <c r="C65" s="230"/>
      <c r="D65" s="230"/>
      <c r="E65" s="230"/>
      <c r="F65" s="231"/>
      <c r="G65" s="228"/>
    </row>
  </sheetData>
  <mergeCells count="22">
    <mergeCell ref="B42:F42"/>
    <mergeCell ref="B46:F46"/>
    <mergeCell ref="B50:F50"/>
    <mergeCell ref="B55:F55"/>
    <mergeCell ref="B60:F60"/>
    <mergeCell ref="B64:F64"/>
    <mergeCell ref="G64:G65"/>
    <mergeCell ref="B65:F65"/>
    <mergeCell ref="F4:G4"/>
    <mergeCell ref="F5:G5"/>
    <mergeCell ref="F7:G7"/>
    <mergeCell ref="B33:F33"/>
    <mergeCell ref="A9:G9"/>
    <mergeCell ref="B10:F10"/>
    <mergeCell ref="B16:F16"/>
    <mergeCell ref="B22:F22"/>
    <mergeCell ref="B26:F26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selection activeCell="E68" sqref="E68"/>
    </sheetView>
  </sheetViews>
  <sheetFormatPr defaultRowHeight="14.4"/>
  <cols>
    <col min="1" max="1" width="7.109375" bestFit="1" customWidth="1"/>
    <col min="2" max="2" width="37.6640625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1.44140625" bestFit="1" customWidth="1"/>
    <col min="7" max="7" width="12" customWidth="1"/>
  </cols>
  <sheetData>
    <row r="1" spans="1:7">
      <c r="A1" s="1" t="s">
        <v>11</v>
      </c>
      <c r="B1" s="237" t="s">
        <v>90</v>
      </c>
      <c r="C1" s="237"/>
      <c r="D1" s="237"/>
      <c r="E1" s="237"/>
      <c r="F1" s="2"/>
      <c r="G1" s="3"/>
    </row>
    <row r="2" spans="1:7">
      <c r="A2" s="1" t="s">
        <v>13</v>
      </c>
      <c r="B2" s="4"/>
      <c r="C2" s="3"/>
      <c r="D2" s="3"/>
      <c r="E2" s="5"/>
      <c r="F2" s="238"/>
      <c r="G2" s="238"/>
    </row>
    <row r="3" spans="1:7">
      <c r="A3" s="1" t="s">
        <v>14</v>
      </c>
      <c r="B3" s="237" t="s">
        <v>163</v>
      </c>
      <c r="C3" s="237"/>
      <c r="D3" s="237"/>
      <c r="E3" s="237"/>
      <c r="F3" s="238" t="s">
        <v>16</v>
      </c>
      <c r="G3" s="238"/>
    </row>
    <row r="4" spans="1:7" ht="15" thickBot="1">
      <c r="A4" s="3"/>
      <c r="B4" s="4"/>
      <c r="C4" s="3"/>
      <c r="D4" s="3"/>
      <c r="E4" s="6"/>
      <c r="F4" s="6"/>
      <c r="G4" s="3"/>
    </row>
    <row r="5" spans="1:7" ht="15" thickBot="1">
      <c r="A5" s="233" t="s">
        <v>17</v>
      </c>
      <c r="B5" s="233" t="s">
        <v>18</v>
      </c>
      <c r="C5" s="233" t="s">
        <v>19</v>
      </c>
      <c r="D5" s="239" t="s">
        <v>20</v>
      </c>
      <c r="E5" s="240" t="s">
        <v>21</v>
      </c>
      <c r="F5" s="233" t="s">
        <v>22</v>
      </c>
      <c r="G5" s="233"/>
    </row>
    <row r="6" spans="1:7" ht="15" thickBot="1">
      <c r="A6" s="233"/>
      <c r="B6" s="233" t="s">
        <v>23</v>
      </c>
      <c r="C6" s="233" t="s">
        <v>24</v>
      </c>
      <c r="D6" s="239" t="s">
        <v>25</v>
      </c>
      <c r="E6" s="240"/>
      <c r="F6" s="7" t="s">
        <v>26</v>
      </c>
      <c r="G6" s="8" t="s">
        <v>27</v>
      </c>
    </row>
    <row r="7" spans="1:7" ht="15" thickBot="1">
      <c r="A7" s="233"/>
      <c r="B7" s="233"/>
      <c r="C7" s="233"/>
      <c r="D7" s="233"/>
      <c r="E7" s="233"/>
      <c r="F7" s="233"/>
      <c r="G7" s="233"/>
    </row>
    <row r="8" spans="1:7" ht="15" customHeight="1" thickBot="1">
      <c r="A8" s="72">
        <v>1</v>
      </c>
      <c r="B8" s="232" t="s">
        <v>28</v>
      </c>
      <c r="C8" s="232"/>
      <c r="D8" s="232"/>
      <c r="E8" s="232"/>
      <c r="F8" s="232"/>
      <c r="G8" s="73">
        <f>F10+F11+F12</f>
        <v>0</v>
      </c>
    </row>
    <row r="9" spans="1:7">
      <c r="A9" s="9"/>
      <c r="B9" s="4"/>
      <c r="C9" s="4"/>
      <c r="D9" s="4"/>
      <c r="E9" s="10"/>
      <c r="F9" s="10"/>
      <c r="G9" s="11"/>
    </row>
    <row r="10" spans="1:7" ht="55.2">
      <c r="A10" s="74" t="s">
        <v>29</v>
      </c>
      <c r="B10" s="56" t="s">
        <v>164</v>
      </c>
      <c r="C10" s="34" t="s">
        <v>165</v>
      </c>
      <c r="D10" s="30">
        <f>(0.2*3*13)+(0.2*(3.66+1.8+1.14+1+3.3+5+3.3+4.33+1.67+3.3+2.6+2.6+3.15+3.15+2.21+2.21+3.31+1.08+3.17+3.17))</f>
        <v>18.830000000000002</v>
      </c>
      <c r="E10" s="31"/>
      <c r="F10" s="31">
        <f>D10*E10</f>
        <v>0</v>
      </c>
      <c r="G10" s="57"/>
    </row>
    <row r="11" spans="1:7" ht="55.2">
      <c r="A11" s="74" t="s">
        <v>32</v>
      </c>
      <c r="B11" s="56" t="s">
        <v>166</v>
      </c>
      <c r="C11" s="34" t="s">
        <v>165</v>
      </c>
      <c r="D11" s="30">
        <f>(22.03)</f>
        <v>22.03</v>
      </c>
      <c r="E11" s="31"/>
      <c r="F11" s="31">
        <f t="shared" ref="F11" si="0">D11*E11</f>
        <v>0</v>
      </c>
      <c r="G11" s="57"/>
    </row>
    <row r="12" spans="1:7" ht="55.2">
      <c r="A12" s="74" t="s">
        <v>35</v>
      </c>
      <c r="B12" s="56" t="s">
        <v>167</v>
      </c>
      <c r="C12" s="34" t="s">
        <v>168</v>
      </c>
      <c r="D12" s="30">
        <f>0.15*(13+6.6)</f>
        <v>2.94</v>
      </c>
      <c r="E12" s="31"/>
      <c r="F12" s="31">
        <f>D12*E12</f>
        <v>0</v>
      </c>
      <c r="G12" s="57"/>
    </row>
    <row r="13" spans="1:7" ht="15" thickBot="1">
      <c r="A13" s="12"/>
      <c r="B13" s="13"/>
      <c r="C13" s="13"/>
      <c r="D13" s="13"/>
      <c r="E13" s="14"/>
      <c r="F13" s="14"/>
      <c r="G13" s="15"/>
    </row>
    <row r="14" spans="1:7" ht="15" thickBot="1">
      <c r="A14" s="72">
        <v>2</v>
      </c>
      <c r="B14" s="234" t="s">
        <v>102</v>
      </c>
      <c r="C14" s="235"/>
      <c r="D14" s="235"/>
      <c r="E14" s="235"/>
      <c r="F14" s="236"/>
      <c r="G14" s="73">
        <f>F16</f>
        <v>0</v>
      </c>
    </row>
    <row r="15" spans="1:7">
      <c r="A15" s="58"/>
      <c r="B15" s="59"/>
      <c r="C15" s="24"/>
      <c r="D15" s="41"/>
      <c r="E15" s="42"/>
      <c r="F15" s="42"/>
      <c r="G15" s="60"/>
    </row>
    <row r="16" spans="1:7" ht="55.2">
      <c r="A16" s="75" t="s">
        <v>38</v>
      </c>
      <c r="B16" s="76" t="s">
        <v>169</v>
      </c>
      <c r="C16" s="77" t="s">
        <v>168</v>
      </c>
      <c r="D16" s="78">
        <f>0.8*0.8*0.4*10</f>
        <v>2.5600000000000005</v>
      </c>
      <c r="E16" s="79"/>
      <c r="F16" s="79">
        <f>D16*E16</f>
        <v>0</v>
      </c>
      <c r="G16" s="80"/>
    </row>
    <row r="17" spans="1:8" ht="15" thickBot="1">
      <c r="A17" s="16"/>
      <c r="B17" s="17"/>
      <c r="C17" s="18"/>
      <c r="D17" s="19"/>
      <c r="E17" s="20"/>
      <c r="F17" s="20"/>
      <c r="G17" s="21"/>
    </row>
    <row r="18" spans="1:8" ht="15" thickBot="1">
      <c r="A18" s="72">
        <v>3</v>
      </c>
      <c r="B18" s="232" t="s">
        <v>104</v>
      </c>
      <c r="C18" s="232"/>
      <c r="D18" s="232"/>
      <c r="E18" s="232"/>
      <c r="F18" s="232"/>
      <c r="G18" s="73">
        <f>F20+F22+F23+F24+F25</f>
        <v>0</v>
      </c>
    </row>
    <row r="19" spans="1:8">
      <c r="A19" s="81"/>
      <c r="B19" s="82"/>
      <c r="C19" s="82"/>
      <c r="D19" s="82"/>
      <c r="E19" s="83"/>
      <c r="F19" s="83"/>
      <c r="G19" s="84"/>
    </row>
    <row r="20" spans="1:8" ht="41.4">
      <c r="A20" s="22" t="s">
        <v>45</v>
      </c>
      <c r="B20" s="85" t="s">
        <v>170</v>
      </c>
      <c r="C20" s="77" t="s">
        <v>165</v>
      </c>
      <c r="D20" s="77">
        <f>0.6*0.6*10</f>
        <v>3.5999999999999996</v>
      </c>
      <c r="E20" s="86"/>
      <c r="F20" s="86">
        <f>D20*E20</f>
        <v>0</v>
      </c>
      <c r="G20" s="87"/>
    </row>
    <row r="21" spans="1:8" ht="96.6">
      <c r="A21" s="27" t="s">
        <v>106</v>
      </c>
      <c r="B21" s="28" t="s">
        <v>39</v>
      </c>
      <c r="C21" s="29"/>
      <c r="D21" s="30"/>
      <c r="E21" s="31"/>
      <c r="F21" s="31"/>
      <c r="G21" s="32"/>
    </row>
    <row r="22" spans="1:8" ht="15">
      <c r="A22" s="33" t="s">
        <v>107</v>
      </c>
      <c r="B22" s="28" t="s">
        <v>108</v>
      </c>
      <c r="C22" s="34" t="s">
        <v>168</v>
      </c>
      <c r="D22" s="30">
        <f>0.5*0.5*0.4*10</f>
        <v>1</v>
      </c>
      <c r="E22" s="31"/>
      <c r="F22" s="31">
        <f>D22*E22</f>
        <v>0</v>
      </c>
      <c r="G22" s="32"/>
    </row>
    <row r="23" spans="1:8" ht="15">
      <c r="A23" s="33" t="s">
        <v>109</v>
      </c>
      <c r="B23" s="28" t="s">
        <v>110</v>
      </c>
      <c r="C23" s="34" t="s">
        <v>168</v>
      </c>
      <c r="D23" s="30">
        <f>0.2*0.2*3*10</f>
        <v>1.2000000000000002</v>
      </c>
      <c r="E23" s="31"/>
      <c r="F23" s="31">
        <f>D23*E23</f>
        <v>0</v>
      </c>
      <c r="G23" s="32"/>
    </row>
    <row r="24" spans="1:8" ht="15">
      <c r="A24" s="33" t="s">
        <v>111</v>
      </c>
      <c r="B24" s="28" t="s">
        <v>41</v>
      </c>
      <c r="C24" s="34" t="s">
        <v>168</v>
      </c>
      <c r="D24" s="30">
        <f>(0.2*0.4*(3.66+1.8+5+3.3+3.3+3.3+2.8+2.8+2.6+2.6+2.21+2.21+3.17+3.17))</f>
        <v>3.3536000000000015</v>
      </c>
      <c r="E24" s="31"/>
      <c r="F24" s="31">
        <f>D24*E24</f>
        <v>0</v>
      </c>
      <c r="G24" s="32"/>
    </row>
    <row r="25" spans="1:8" ht="15">
      <c r="A25" s="33" t="s">
        <v>112</v>
      </c>
      <c r="B25" s="28" t="s">
        <v>43</v>
      </c>
      <c r="C25" s="34" t="s">
        <v>168</v>
      </c>
      <c r="D25" s="30">
        <f>0.15*(10.25+4.68+7.29+10.46)</f>
        <v>4.9020000000000001</v>
      </c>
      <c r="E25" s="31"/>
      <c r="F25" s="31">
        <f>D25*E25</f>
        <v>0</v>
      </c>
      <c r="G25" s="32"/>
    </row>
    <row r="26" spans="1:8" ht="15" thickBot="1">
      <c r="A26" s="35"/>
      <c r="B26" s="36"/>
      <c r="C26" s="36"/>
      <c r="D26" s="36"/>
      <c r="E26" s="37"/>
      <c r="F26" s="37"/>
      <c r="G26" s="38"/>
    </row>
    <row r="27" spans="1:8" ht="15" thickBot="1">
      <c r="A27" s="72">
        <v>4</v>
      </c>
      <c r="B27" s="232" t="s">
        <v>113</v>
      </c>
      <c r="C27" s="232"/>
      <c r="D27" s="232"/>
      <c r="E27" s="232"/>
      <c r="F27" s="232"/>
      <c r="G27" s="73">
        <f>F29</f>
        <v>0</v>
      </c>
    </row>
    <row r="28" spans="1:8">
      <c r="A28" s="39"/>
      <c r="B28" s="40"/>
      <c r="C28" s="24"/>
      <c r="D28" s="41"/>
      <c r="E28" s="42"/>
      <c r="F28" s="42"/>
      <c r="G28" s="43"/>
    </row>
    <row r="29" spans="1:8" ht="96.6">
      <c r="A29" s="33" t="s">
        <v>48</v>
      </c>
      <c r="B29" s="44" t="s">
        <v>171</v>
      </c>
      <c r="C29" s="34" t="s">
        <v>165</v>
      </c>
      <c r="D29" s="30">
        <f>(0.2*(3.66+1.8+5+3.3+2.8+2.8+2.6+2.6))</f>
        <v>4.9120000000000017</v>
      </c>
      <c r="E29" s="31"/>
      <c r="F29" s="31">
        <f>D29*E29</f>
        <v>0</v>
      </c>
      <c r="G29" s="32"/>
      <c r="H29" s="30"/>
    </row>
    <row r="30" spans="1:8" ht="15" thickBot="1">
      <c r="A30" s="45"/>
      <c r="B30" s="46"/>
      <c r="C30" s="18"/>
      <c r="D30" s="19"/>
      <c r="E30" s="20"/>
      <c r="F30" s="20"/>
      <c r="G30" s="47"/>
    </row>
    <row r="31" spans="1:8" ht="15" thickBot="1">
      <c r="A31" s="72">
        <v>5</v>
      </c>
      <c r="B31" s="232" t="s">
        <v>115</v>
      </c>
      <c r="C31" s="232"/>
      <c r="D31" s="232"/>
      <c r="E31" s="232"/>
      <c r="F31" s="232"/>
      <c r="G31" s="73">
        <f>SUM(F32:F38)</f>
        <v>0</v>
      </c>
    </row>
    <row r="32" spans="1:8">
      <c r="A32" s="39"/>
      <c r="B32" s="40"/>
      <c r="C32" s="24"/>
      <c r="D32" s="41"/>
      <c r="E32" s="42"/>
      <c r="F32" s="42"/>
      <c r="G32" s="43"/>
    </row>
    <row r="33" spans="1:7" ht="69">
      <c r="A33" s="33" t="s">
        <v>57</v>
      </c>
      <c r="B33" s="152" t="s">
        <v>172</v>
      </c>
      <c r="C33" s="34" t="s">
        <v>165</v>
      </c>
      <c r="D33" s="30">
        <f>(0.8*(10.1))-(0.96*0.8)+(0.4*3.2)</f>
        <v>8.5920000000000005</v>
      </c>
      <c r="E33" s="31"/>
      <c r="F33" s="31">
        <f>D33*E33</f>
        <v>0</v>
      </c>
      <c r="G33" s="32"/>
    </row>
    <row r="34" spans="1:7" ht="69">
      <c r="A34" s="33" t="s">
        <v>116</v>
      </c>
      <c r="B34" s="152" t="s">
        <v>173</v>
      </c>
      <c r="C34" s="34" t="s">
        <v>165</v>
      </c>
      <c r="D34" s="30">
        <f>(2.88*(3.84+3.84+2.8+2.8))-(0.76*2.1+1*2.1+0.76*2.1+0.47*0.4)</f>
        <v>32.766400000000004</v>
      </c>
      <c r="E34" s="31"/>
      <c r="F34" s="31">
        <f>D34*E34</f>
        <v>0</v>
      </c>
      <c r="G34" s="32"/>
    </row>
    <row r="35" spans="1:7" ht="27.6">
      <c r="A35" s="33" t="s">
        <v>174</v>
      </c>
      <c r="B35" s="152" t="s">
        <v>175</v>
      </c>
      <c r="C35" s="34" t="s">
        <v>165</v>
      </c>
      <c r="D35" s="30">
        <f>(3*(10.1))-(1.36*1+1.79*2.28+0.96*0.58+2.28*2.38)+(2.88*(1.08+1.08+5.17+5.17))-(1.4*1+0.87*2.1+1.79*2.28+0.96*0.58+2.28*2.38)</f>
        <v>41.584199999999996</v>
      </c>
      <c r="E35" s="31"/>
      <c r="F35" s="31">
        <f>D35*E35</f>
        <v>0</v>
      </c>
      <c r="G35" s="32"/>
    </row>
    <row r="36" spans="1:7" ht="27.6">
      <c r="A36" s="33" t="s">
        <v>117</v>
      </c>
      <c r="B36" s="152" t="s">
        <v>176</v>
      </c>
      <c r="C36" s="34" t="s">
        <v>165</v>
      </c>
      <c r="D36" s="30">
        <f>(3*(10.1))-(1.36*1+1.79*2.28+0.96*0.58+2.28*2.38)+(2.88*(1.08+1.08+5.17+5.17))-(1.4*1+0.87*2.1+1.79*2.28+0.96*0.58+2.28*2.38)</f>
        <v>41.584199999999996</v>
      </c>
      <c r="E36" s="31"/>
      <c r="F36" s="31">
        <f>D36*E36</f>
        <v>0</v>
      </c>
      <c r="G36" s="32"/>
    </row>
    <row r="37" spans="1:7" ht="27.6">
      <c r="A37" s="33" t="s">
        <v>177</v>
      </c>
      <c r="B37" s="44" t="s">
        <v>53</v>
      </c>
      <c r="C37" s="34" t="s">
        <v>165</v>
      </c>
      <c r="D37" s="30">
        <f>(10.25+4.68+7.29+10.46)</f>
        <v>32.68</v>
      </c>
      <c r="E37" s="31"/>
      <c r="F37" s="31">
        <f>D37*E37</f>
        <v>0</v>
      </c>
      <c r="G37" s="32"/>
    </row>
    <row r="38" spans="1:7" ht="15" thickBot="1">
      <c r="A38" s="45"/>
      <c r="B38" s="46"/>
      <c r="C38" s="18"/>
      <c r="D38" s="19"/>
      <c r="E38" s="20"/>
      <c r="F38" s="20"/>
      <c r="G38" s="47"/>
    </row>
    <row r="39" spans="1:7" ht="15" thickBot="1">
      <c r="A39" s="72">
        <v>6</v>
      </c>
      <c r="B39" s="232" t="s">
        <v>178</v>
      </c>
      <c r="C39" s="232"/>
      <c r="D39" s="232"/>
      <c r="E39" s="232"/>
      <c r="F39" s="232"/>
      <c r="G39" s="73">
        <f>SUM(F40:F50)</f>
        <v>0</v>
      </c>
    </row>
    <row r="40" spans="1:7">
      <c r="A40" s="39"/>
      <c r="B40" s="40"/>
      <c r="C40" s="23"/>
      <c r="D40" s="41"/>
      <c r="E40" s="42"/>
      <c r="F40" s="42"/>
      <c r="G40" s="43"/>
    </row>
    <row r="41" spans="1:7">
      <c r="A41" s="48" t="s">
        <v>71</v>
      </c>
      <c r="B41" s="153" t="s">
        <v>179</v>
      </c>
      <c r="C41" s="153"/>
      <c r="D41" s="153"/>
      <c r="E41" s="153"/>
      <c r="F41" s="153"/>
      <c r="G41" s="154"/>
    </row>
    <row r="42" spans="1:7" ht="69">
      <c r="A42" s="48" t="s">
        <v>119</v>
      </c>
      <c r="B42" s="152" t="s">
        <v>173</v>
      </c>
      <c r="C42" s="34" t="s">
        <v>165</v>
      </c>
      <c r="D42" s="30">
        <f>(2.88*(2.6+2.6+1.8+1.8))-(0.76*2.1)</f>
        <v>23.748000000000001</v>
      </c>
      <c r="E42" s="31"/>
      <c r="F42" s="31">
        <f>D42*E42</f>
        <v>0</v>
      </c>
      <c r="G42" s="32"/>
    </row>
    <row r="43" spans="1:7" ht="27.6">
      <c r="A43" s="48" t="s">
        <v>120</v>
      </c>
      <c r="B43" s="152" t="s">
        <v>176</v>
      </c>
      <c r="C43" s="155" t="s">
        <v>165</v>
      </c>
      <c r="D43" s="30">
        <f>(2.88*(2.6+2.6+1.8+1.8))-(0.76*2.1+0.8*2.1+0.8*2.1)</f>
        <v>20.388000000000002</v>
      </c>
      <c r="E43" s="156"/>
      <c r="F43" s="156">
        <f>D43*E43</f>
        <v>0</v>
      </c>
      <c r="G43" s="157"/>
    </row>
    <row r="44" spans="1:7" ht="55.2">
      <c r="A44" s="48" t="s">
        <v>121</v>
      </c>
      <c r="B44" s="44" t="s">
        <v>67</v>
      </c>
      <c r="C44" s="34" t="s">
        <v>165</v>
      </c>
      <c r="D44" s="30">
        <f>(2.1*(0.8+0.8))</f>
        <v>3.3600000000000003</v>
      </c>
      <c r="E44" s="31"/>
      <c r="F44" s="31">
        <f t="shared" ref="F44:F45" si="1">D44*E44</f>
        <v>0</v>
      </c>
      <c r="G44" s="32"/>
    </row>
    <row r="45" spans="1:7" ht="55.2">
      <c r="A45" s="48" t="s">
        <v>122</v>
      </c>
      <c r="B45" s="44" t="s">
        <v>69</v>
      </c>
      <c r="C45" s="34" t="s">
        <v>165</v>
      </c>
      <c r="D45" s="158">
        <f>4.85</f>
        <v>4.8499999999999996</v>
      </c>
      <c r="E45" s="31"/>
      <c r="F45" s="31">
        <f t="shared" si="1"/>
        <v>0</v>
      </c>
      <c r="G45" s="32"/>
    </row>
    <row r="46" spans="1:7">
      <c r="A46" s="48" t="s">
        <v>142</v>
      </c>
      <c r="B46" s="153" t="s">
        <v>58</v>
      </c>
      <c r="C46" s="153"/>
      <c r="D46" s="153"/>
      <c r="E46" s="153"/>
      <c r="F46" s="153"/>
      <c r="G46" s="154"/>
    </row>
    <row r="47" spans="1:7" ht="69">
      <c r="A47" s="48" t="s">
        <v>180</v>
      </c>
      <c r="B47" s="44" t="s">
        <v>60</v>
      </c>
      <c r="C47" s="34" t="s">
        <v>181</v>
      </c>
      <c r="D47" s="30">
        <v>1</v>
      </c>
      <c r="E47" s="31"/>
      <c r="F47" s="31">
        <f>D47*E47</f>
        <v>0</v>
      </c>
      <c r="G47" s="32"/>
    </row>
    <row r="48" spans="1:7" ht="69">
      <c r="A48" s="48" t="s">
        <v>182</v>
      </c>
      <c r="B48" s="44" t="s">
        <v>63</v>
      </c>
      <c r="C48" s="34" t="s">
        <v>181</v>
      </c>
      <c r="D48" s="30">
        <v>1</v>
      </c>
      <c r="E48" s="31"/>
      <c r="F48" s="31">
        <f>D48*E48</f>
        <v>0</v>
      </c>
      <c r="G48" s="32"/>
    </row>
    <row r="49" spans="1:7" ht="69">
      <c r="A49" s="48" t="s">
        <v>183</v>
      </c>
      <c r="B49" s="44" t="s">
        <v>184</v>
      </c>
      <c r="C49" s="34" t="s">
        <v>181</v>
      </c>
      <c r="D49" s="30">
        <v>1</v>
      </c>
      <c r="E49" s="31"/>
      <c r="F49" s="31">
        <f>D49*E49</f>
        <v>0</v>
      </c>
      <c r="G49" s="32"/>
    </row>
    <row r="50" spans="1:7" ht="15" thickBot="1">
      <c r="A50" s="45"/>
      <c r="B50" s="46"/>
      <c r="C50" s="49"/>
      <c r="D50" s="19"/>
      <c r="E50" s="20"/>
      <c r="F50" s="20"/>
      <c r="G50" s="47"/>
    </row>
    <row r="51" spans="1:7" ht="15" thickBot="1">
      <c r="A51" s="72">
        <v>7</v>
      </c>
      <c r="B51" s="232" t="s">
        <v>124</v>
      </c>
      <c r="C51" s="232"/>
      <c r="D51" s="232"/>
      <c r="E51" s="232"/>
      <c r="F51" s="232"/>
      <c r="G51" s="73">
        <f>F53</f>
        <v>0</v>
      </c>
    </row>
    <row r="52" spans="1:7">
      <c r="A52" s="39"/>
      <c r="B52" s="40"/>
      <c r="C52" s="23"/>
      <c r="D52" s="41"/>
      <c r="E52" s="42"/>
      <c r="F52" s="42"/>
      <c r="G52" s="43"/>
    </row>
    <row r="53" spans="1:7" ht="55.2">
      <c r="A53" s="62" t="s">
        <v>75</v>
      </c>
      <c r="B53" s="63" t="s">
        <v>185</v>
      </c>
      <c r="C53" s="64" t="s">
        <v>73</v>
      </c>
      <c r="D53" s="65">
        <v>1</v>
      </c>
      <c r="E53" s="66"/>
      <c r="F53" s="66">
        <f>D53*E53</f>
        <v>0</v>
      </c>
      <c r="G53" s="67"/>
    </row>
    <row r="54" spans="1:7" ht="15" thickBot="1">
      <c r="A54" s="45"/>
      <c r="B54" s="46"/>
      <c r="C54" s="49"/>
      <c r="D54" s="19"/>
      <c r="E54" s="20"/>
      <c r="F54" s="20"/>
      <c r="G54" s="47"/>
    </row>
    <row r="55" spans="1:7" ht="15" thickBot="1">
      <c r="A55" s="72">
        <v>8</v>
      </c>
      <c r="B55" s="232" t="s">
        <v>186</v>
      </c>
      <c r="C55" s="232"/>
      <c r="D55" s="232"/>
      <c r="E55" s="232"/>
      <c r="F55" s="232"/>
      <c r="G55" s="73">
        <f>F57+F58</f>
        <v>0</v>
      </c>
    </row>
    <row r="56" spans="1:7">
      <c r="A56" s="39"/>
      <c r="B56" s="40"/>
      <c r="C56" s="24"/>
      <c r="D56" s="41"/>
      <c r="E56" s="42"/>
      <c r="F56" s="42"/>
      <c r="G56" s="43"/>
    </row>
    <row r="57" spans="1:7" ht="69">
      <c r="A57" s="48" t="s">
        <v>78</v>
      </c>
      <c r="B57" s="44" t="s">
        <v>187</v>
      </c>
      <c r="C57" s="34" t="s">
        <v>73</v>
      </c>
      <c r="D57" s="30">
        <v>1</v>
      </c>
      <c r="E57" s="31"/>
      <c r="F57" s="31">
        <f>D57*E57</f>
        <v>0</v>
      </c>
      <c r="G57" s="32"/>
    </row>
    <row r="58" spans="1:7" ht="55.2">
      <c r="A58" s="48" t="s">
        <v>80</v>
      </c>
      <c r="B58" s="44" t="s">
        <v>188</v>
      </c>
      <c r="C58" s="34" t="s">
        <v>73</v>
      </c>
      <c r="D58" s="30">
        <v>1</v>
      </c>
      <c r="E58" s="31"/>
      <c r="F58" s="31">
        <f>D58*E58</f>
        <v>0</v>
      </c>
      <c r="G58" s="32"/>
    </row>
    <row r="59" spans="1:7" ht="15" thickBot="1">
      <c r="A59" s="45"/>
      <c r="B59" s="50"/>
      <c r="C59" s="51"/>
      <c r="D59" s="52"/>
      <c r="E59" s="20"/>
      <c r="F59" s="20"/>
      <c r="G59" s="47"/>
    </row>
    <row r="60" spans="1:7" ht="15" thickBot="1">
      <c r="A60" s="72">
        <v>9</v>
      </c>
      <c r="B60" s="232" t="s">
        <v>126</v>
      </c>
      <c r="C60" s="232"/>
      <c r="D60" s="232"/>
      <c r="E60" s="232"/>
      <c r="F60" s="232"/>
      <c r="G60" s="73">
        <f>F62+F63+F64</f>
        <v>0</v>
      </c>
    </row>
    <row r="61" spans="1:7">
      <c r="A61" s="39"/>
      <c r="B61" s="40"/>
      <c r="C61" s="24"/>
      <c r="D61" s="41"/>
      <c r="E61" s="42"/>
      <c r="F61" s="42"/>
      <c r="G61" s="43"/>
    </row>
    <row r="62" spans="1:7" ht="82.8">
      <c r="A62" s="48" t="s">
        <v>82</v>
      </c>
      <c r="B62" s="44" t="s">
        <v>189</v>
      </c>
      <c r="C62" s="34" t="s">
        <v>73</v>
      </c>
      <c r="D62" s="30">
        <v>1</v>
      </c>
      <c r="E62" s="31"/>
      <c r="F62" s="31">
        <f>D62*E62</f>
        <v>0</v>
      </c>
      <c r="G62" s="32"/>
    </row>
    <row r="63" spans="1:7" ht="69">
      <c r="A63" s="48" t="s">
        <v>84</v>
      </c>
      <c r="B63" s="44" t="s">
        <v>190</v>
      </c>
      <c r="C63" s="34" t="s">
        <v>73</v>
      </c>
      <c r="D63" s="30">
        <v>1</v>
      </c>
      <c r="E63" s="31"/>
      <c r="F63" s="31">
        <f>D63*E63</f>
        <v>0</v>
      </c>
      <c r="G63" s="32"/>
    </row>
    <row r="64" spans="1:7" ht="69">
      <c r="A64" s="48" t="s">
        <v>191</v>
      </c>
      <c r="B64" s="44" t="s">
        <v>192</v>
      </c>
      <c r="C64" s="34" t="s">
        <v>73</v>
      </c>
      <c r="D64" s="30">
        <v>1</v>
      </c>
      <c r="E64" s="31"/>
      <c r="F64" s="31">
        <f>D64*E64</f>
        <v>0</v>
      </c>
      <c r="G64" s="32"/>
    </row>
    <row r="65" spans="1:7" ht="15" thickBot="1">
      <c r="A65" s="45"/>
      <c r="B65" s="50"/>
      <c r="C65" s="51"/>
      <c r="D65" s="52"/>
      <c r="E65" s="20"/>
      <c r="F65" s="20"/>
      <c r="G65" s="47"/>
    </row>
    <row r="66" spans="1:7" ht="15" thickBot="1">
      <c r="A66" s="72">
        <v>10</v>
      </c>
      <c r="B66" s="232" t="s">
        <v>128</v>
      </c>
      <c r="C66" s="232"/>
      <c r="D66" s="232"/>
      <c r="E66" s="232"/>
      <c r="F66" s="232"/>
      <c r="G66" s="73">
        <f>F68+F69</f>
        <v>0</v>
      </c>
    </row>
    <row r="67" spans="1:7">
      <c r="A67" s="39"/>
      <c r="B67" s="40"/>
      <c r="C67" s="24"/>
      <c r="D67" s="41"/>
      <c r="E67" s="42"/>
      <c r="F67" s="42"/>
      <c r="G67" s="43"/>
    </row>
    <row r="68" spans="1:7" ht="69">
      <c r="A68" s="62" t="s">
        <v>87</v>
      </c>
      <c r="B68" s="90" t="s">
        <v>193</v>
      </c>
      <c r="C68" s="64" t="s">
        <v>73</v>
      </c>
      <c r="D68" s="65">
        <v>1</v>
      </c>
      <c r="E68" s="66"/>
      <c r="F68" s="66">
        <f>D68*E68</f>
        <v>0</v>
      </c>
      <c r="G68" s="67"/>
    </row>
    <row r="69" spans="1:7" ht="55.2">
      <c r="A69" s="62" t="s">
        <v>99</v>
      </c>
      <c r="B69" s="44" t="s">
        <v>67</v>
      </c>
      <c r="C69" s="34" t="s">
        <v>165</v>
      </c>
      <c r="D69" s="30">
        <f>(0.6*1.8)</f>
        <v>1.08</v>
      </c>
      <c r="E69" s="31"/>
      <c r="F69" s="31">
        <f t="shared" ref="F69" si="2">D69*E69</f>
        <v>0</v>
      </c>
      <c r="G69" s="32"/>
    </row>
    <row r="70" spans="1:7" ht="15" thickBot="1">
      <c r="A70" s="45"/>
      <c r="B70" s="46"/>
      <c r="C70" s="18"/>
      <c r="D70" s="19"/>
      <c r="E70" s="20"/>
      <c r="F70" s="20"/>
      <c r="G70" s="47"/>
    </row>
    <row r="71" spans="1:7" ht="15" thickBot="1">
      <c r="A71" s="72">
        <v>11</v>
      </c>
      <c r="B71" s="232" t="s">
        <v>129</v>
      </c>
      <c r="C71" s="232"/>
      <c r="D71" s="232"/>
      <c r="E71" s="232"/>
      <c r="F71" s="232"/>
      <c r="G71" s="73">
        <f>SUM(F72:F78)</f>
        <v>0</v>
      </c>
    </row>
    <row r="72" spans="1:7">
      <c r="A72" s="39"/>
      <c r="B72" s="40"/>
      <c r="C72" s="24"/>
      <c r="D72" s="41"/>
      <c r="E72" s="42"/>
      <c r="F72" s="42"/>
      <c r="G72" s="43"/>
    </row>
    <row r="73" spans="1:7" ht="41.4">
      <c r="A73" s="48" t="s">
        <v>130</v>
      </c>
      <c r="B73" s="44" t="s">
        <v>194</v>
      </c>
      <c r="C73" s="34" t="s">
        <v>61</v>
      </c>
      <c r="D73" s="30">
        <v>1</v>
      </c>
      <c r="E73" s="31"/>
      <c r="F73" s="31">
        <f>D73*E73</f>
        <v>0</v>
      </c>
      <c r="G73" s="32"/>
    </row>
    <row r="74" spans="1:7" ht="41.4">
      <c r="A74" s="48" t="s">
        <v>131</v>
      </c>
      <c r="B74" s="44" t="s">
        <v>195</v>
      </c>
      <c r="C74" s="34" t="s">
        <v>61</v>
      </c>
      <c r="D74" s="30">
        <v>1</v>
      </c>
      <c r="E74" s="31"/>
      <c r="F74" s="31">
        <f>D74*E74</f>
        <v>0</v>
      </c>
      <c r="G74" s="32"/>
    </row>
    <row r="75" spans="1:7" ht="41.4">
      <c r="A75" s="48" t="s">
        <v>133</v>
      </c>
      <c r="B75" s="44" t="s">
        <v>196</v>
      </c>
      <c r="C75" s="34" t="s">
        <v>61</v>
      </c>
      <c r="D75" s="30">
        <v>1</v>
      </c>
      <c r="E75" s="31"/>
      <c r="F75" s="31">
        <f>D75*E75</f>
        <v>0</v>
      </c>
      <c r="G75" s="32"/>
    </row>
    <row r="76" spans="1:7" ht="41.4">
      <c r="A76" s="48" t="s">
        <v>197</v>
      </c>
      <c r="B76" s="44" t="s">
        <v>196</v>
      </c>
      <c r="C76" s="34" t="s">
        <v>61</v>
      </c>
      <c r="D76" s="30">
        <v>1</v>
      </c>
      <c r="E76" s="31"/>
      <c r="F76" s="31">
        <f>D76*E76</f>
        <v>0</v>
      </c>
      <c r="G76" s="32"/>
    </row>
    <row r="77" spans="1:7" ht="41.4">
      <c r="A77" s="48" t="s">
        <v>198</v>
      </c>
      <c r="B77" s="44" t="s">
        <v>199</v>
      </c>
      <c r="C77" s="34" t="s">
        <v>61</v>
      </c>
      <c r="D77" s="30">
        <v>1</v>
      </c>
      <c r="E77" s="31"/>
      <c r="F77" s="31">
        <f>D77*E77</f>
        <v>0</v>
      </c>
      <c r="G77" s="32"/>
    </row>
    <row r="78" spans="1:7" ht="15" thickBot="1">
      <c r="A78" s="53"/>
      <c r="B78" s="54"/>
      <c r="C78" s="54"/>
      <c r="D78" s="54"/>
      <c r="E78" s="20"/>
      <c r="F78" s="20"/>
      <c r="G78" s="47"/>
    </row>
    <row r="79" spans="1:7" ht="15" thickBot="1">
      <c r="A79" s="72">
        <v>12</v>
      </c>
      <c r="B79" s="232" t="s">
        <v>200</v>
      </c>
      <c r="C79" s="232"/>
      <c r="D79" s="232"/>
      <c r="E79" s="232"/>
      <c r="F79" s="232"/>
      <c r="G79" s="73">
        <f>F81</f>
        <v>0</v>
      </c>
    </row>
    <row r="80" spans="1:7">
      <c r="A80" s="39"/>
      <c r="B80" s="40"/>
      <c r="C80" s="24"/>
      <c r="D80" s="41"/>
      <c r="E80" s="42"/>
      <c r="F80" s="42"/>
      <c r="G80" s="43"/>
    </row>
    <row r="81" spans="1:7" ht="55.2">
      <c r="A81" s="48" t="s">
        <v>201</v>
      </c>
      <c r="B81" s="44" t="s">
        <v>202</v>
      </c>
      <c r="C81" s="34" t="s">
        <v>61</v>
      </c>
      <c r="D81" s="30">
        <v>1</v>
      </c>
      <c r="E81" s="31"/>
      <c r="F81" s="31">
        <f>D81*E81</f>
        <v>0</v>
      </c>
      <c r="G81" s="32"/>
    </row>
    <row r="82" spans="1:7" ht="15" thickBot="1">
      <c r="A82" s="45"/>
      <c r="B82" s="46"/>
      <c r="C82" s="18"/>
      <c r="D82" s="19"/>
      <c r="E82" s="20"/>
      <c r="F82" s="20"/>
      <c r="G82" s="47"/>
    </row>
    <row r="83" spans="1:7" ht="15" thickBot="1">
      <c r="A83" s="55"/>
      <c r="B83" s="239"/>
      <c r="C83" s="239"/>
      <c r="D83" s="239"/>
      <c r="E83" s="239"/>
      <c r="F83" s="239"/>
      <c r="G83" s="239">
        <f>SUM(G8:G82)</f>
        <v>0</v>
      </c>
    </row>
    <row r="84" spans="1:7" ht="15" thickBot="1">
      <c r="A84" s="55"/>
      <c r="B84" s="241" t="s">
        <v>89</v>
      </c>
      <c r="C84" s="241"/>
      <c r="D84" s="241"/>
      <c r="E84" s="241"/>
      <c r="F84" s="241"/>
      <c r="G84" s="233"/>
    </row>
  </sheetData>
  <mergeCells count="26">
    <mergeCell ref="B79:F79"/>
    <mergeCell ref="B83:F83"/>
    <mergeCell ref="G83:G84"/>
    <mergeCell ref="B84:F84"/>
    <mergeCell ref="B66:F66"/>
    <mergeCell ref="B71:F71"/>
    <mergeCell ref="B1:E1"/>
    <mergeCell ref="F2:G2"/>
    <mergeCell ref="B3:E3"/>
    <mergeCell ref="F3:G3"/>
    <mergeCell ref="A5:A6"/>
    <mergeCell ref="B5:B6"/>
    <mergeCell ref="C5:C6"/>
    <mergeCell ref="D5:D6"/>
    <mergeCell ref="E5:E6"/>
    <mergeCell ref="F5:G5"/>
    <mergeCell ref="A7:G7"/>
    <mergeCell ref="B8:F8"/>
    <mergeCell ref="B14:F14"/>
    <mergeCell ref="B18:F18"/>
    <mergeCell ref="B27:F27"/>
    <mergeCell ref="B55:F55"/>
    <mergeCell ref="B39:F39"/>
    <mergeCell ref="B51:F51"/>
    <mergeCell ref="B60:F60"/>
    <mergeCell ref="B31:F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E29" sqref="E29"/>
    </sheetView>
  </sheetViews>
  <sheetFormatPr defaultRowHeight="14.4"/>
  <cols>
    <col min="1" max="1" width="9" style="94" bestFit="1" customWidth="1"/>
    <col min="2" max="2" width="39.5546875" style="95" customWidth="1"/>
    <col min="3" max="3" width="4.5546875" style="95" customWidth="1"/>
    <col min="4" max="4" width="6.5546875" style="95" customWidth="1"/>
    <col min="5" max="5" width="11.44140625" style="96" customWidth="1"/>
    <col min="6" max="6" width="12" style="96" customWidth="1"/>
    <col min="7" max="7" width="16.109375" style="95" customWidth="1"/>
  </cols>
  <sheetData>
    <row r="1" spans="1:7" ht="8.1" customHeight="1"/>
    <row r="2" spans="1:7">
      <c r="A2" s="97" t="s">
        <v>10</v>
      </c>
      <c r="B2" s="97"/>
      <c r="C2" s="97"/>
      <c r="D2" s="97"/>
      <c r="E2" s="98"/>
      <c r="F2" s="99"/>
      <c r="G2" s="97"/>
    </row>
    <row r="3" spans="1:7">
      <c r="A3" s="100" t="s">
        <v>11</v>
      </c>
      <c r="B3" s="97" t="s">
        <v>90</v>
      </c>
      <c r="C3" s="100"/>
      <c r="E3" s="101"/>
      <c r="F3" s="101"/>
      <c r="G3" s="100"/>
    </row>
    <row r="4" spans="1:7">
      <c r="A4" s="100" t="s">
        <v>13</v>
      </c>
      <c r="B4" s="97"/>
      <c r="C4" s="100"/>
      <c r="D4" s="100"/>
      <c r="E4" s="98"/>
      <c r="F4" s="206"/>
      <c r="G4" s="206"/>
    </row>
    <row r="5" spans="1:7">
      <c r="A5" s="100" t="s">
        <v>14</v>
      </c>
      <c r="B5" s="97" t="s">
        <v>91</v>
      </c>
      <c r="C5" s="100"/>
      <c r="D5" s="100"/>
      <c r="E5" s="98"/>
      <c r="F5" s="206" t="s">
        <v>16</v>
      </c>
      <c r="G5" s="206"/>
    </row>
    <row r="6" spans="1:7" ht="15" thickBot="1">
      <c r="A6" s="100"/>
      <c r="B6" s="97"/>
      <c r="C6" s="100"/>
      <c r="D6" s="100"/>
      <c r="E6" s="102"/>
      <c r="F6" s="102"/>
      <c r="G6" s="100"/>
    </row>
    <row r="7" spans="1:7" ht="15" thickBot="1">
      <c r="A7" s="218" t="s">
        <v>17</v>
      </c>
      <c r="B7" s="218" t="s">
        <v>18</v>
      </c>
      <c r="C7" s="218" t="s">
        <v>19</v>
      </c>
      <c r="D7" s="220" t="s">
        <v>20</v>
      </c>
      <c r="E7" s="222" t="s">
        <v>21</v>
      </c>
      <c r="F7" s="207" t="s">
        <v>22</v>
      </c>
      <c r="G7" s="208"/>
    </row>
    <row r="8" spans="1:7" ht="15" thickBot="1">
      <c r="A8" s="219"/>
      <c r="B8" s="219" t="s">
        <v>23</v>
      </c>
      <c r="C8" s="219" t="s">
        <v>24</v>
      </c>
      <c r="D8" s="221" t="s">
        <v>25</v>
      </c>
      <c r="E8" s="223"/>
      <c r="F8" s="103" t="s">
        <v>26</v>
      </c>
      <c r="G8" s="104" t="s">
        <v>27</v>
      </c>
    </row>
    <row r="9" spans="1:7" ht="12" customHeight="1">
      <c r="A9" s="212"/>
      <c r="B9" s="213"/>
      <c r="C9" s="213"/>
      <c r="D9" s="213"/>
      <c r="E9" s="213"/>
      <c r="F9" s="213"/>
      <c r="G9" s="214"/>
    </row>
    <row r="10" spans="1:7">
      <c r="A10" s="105">
        <v>1</v>
      </c>
      <c r="B10" s="215" t="s">
        <v>28</v>
      </c>
      <c r="C10" s="216"/>
      <c r="D10" s="216"/>
      <c r="E10" s="216"/>
      <c r="F10" s="217"/>
      <c r="G10" s="106">
        <f>+SUM(F12:F13)</f>
        <v>0</v>
      </c>
    </row>
    <row r="11" spans="1:7" ht="6.9" customHeight="1">
      <c r="A11" s="107"/>
      <c r="B11" s="108"/>
      <c r="C11" s="108"/>
      <c r="D11" s="108"/>
      <c r="E11" s="109"/>
      <c r="F11" s="109"/>
      <c r="G11" s="110"/>
    </row>
    <row r="12" spans="1:7" ht="55.2">
      <c r="A12" s="111" t="s">
        <v>29</v>
      </c>
      <c r="B12" s="112" t="s">
        <v>30</v>
      </c>
      <c r="C12" s="113" t="s">
        <v>31</v>
      </c>
      <c r="D12" s="114">
        <f>+(39.5+5.3)*0.15</f>
        <v>6.72</v>
      </c>
      <c r="E12" s="115"/>
      <c r="F12" s="115">
        <f>+D12*E12</f>
        <v>0</v>
      </c>
      <c r="G12" s="116"/>
    </row>
    <row r="13" spans="1:7" ht="55.2">
      <c r="A13" s="111" t="s">
        <v>32</v>
      </c>
      <c r="B13" s="112" t="s">
        <v>92</v>
      </c>
      <c r="C13" s="113" t="s">
        <v>34</v>
      </c>
      <c r="D13" s="114">
        <f>+(0.7+0.78)+3.1</f>
        <v>4.58</v>
      </c>
      <c r="E13" s="115"/>
      <c r="F13" s="115">
        <f>D13*E13</f>
        <v>0</v>
      </c>
      <c r="G13" s="116"/>
    </row>
    <row r="14" spans="1:7" ht="6.9" customHeight="1">
      <c r="A14" s="117"/>
      <c r="B14" s="118"/>
      <c r="C14" s="118"/>
      <c r="D14" s="118"/>
      <c r="E14" s="119"/>
      <c r="F14" s="115"/>
      <c r="G14" s="120"/>
    </row>
    <row r="15" spans="1:7">
      <c r="A15" s="105">
        <v>2</v>
      </c>
      <c r="B15" s="215" t="s">
        <v>37</v>
      </c>
      <c r="C15" s="216"/>
      <c r="D15" s="216"/>
      <c r="E15" s="216"/>
      <c r="F15" s="217"/>
      <c r="G15" s="106">
        <f>SUM(F18:F19)</f>
        <v>0</v>
      </c>
    </row>
    <row r="16" spans="1:7">
      <c r="A16" s="107"/>
      <c r="B16" s="108"/>
      <c r="C16" s="108"/>
      <c r="D16" s="108"/>
      <c r="E16" s="109"/>
      <c r="F16" s="109"/>
      <c r="G16" s="110"/>
    </row>
    <row r="17" spans="1:7" ht="96.6">
      <c r="A17" s="111" t="s">
        <v>38</v>
      </c>
      <c r="B17" s="121" t="s">
        <v>39</v>
      </c>
      <c r="C17" s="122"/>
      <c r="D17" s="114"/>
      <c r="E17" s="115"/>
      <c r="F17" s="115"/>
      <c r="G17" s="123"/>
    </row>
    <row r="18" spans="1:7" ht="16.8">
      <c r="A18" s="111" t="s">
        <v>40</v>
      </c>
      <c r="B18" s="121" t="s">
        <v>41</v>
      </c>
      <c r="C18" s="113" t="s">
        <v>31</v>
      </c>
      <c r="D18" s="115">
        <f>0.2*0.4*8.9*2+0.2*0.4*5.7+2+0.2*0.4*3.8*2</f>
        <v>4.4880000000000013</v>
      </c>
      <c r="E18" s="115"/>
      <c r="F18" s="115">
        <f t="shared" ref="F18:F19" si="0">D18*E18</f>
        <v>0</v>
      </c>
      <c r="G18" s="123"/>
    </row>
    <row r="19" spans="1:7" ht="16.8">
      <c r="A19" s="111" t="s">
        <v>42</v>
      </c>
      <c r="B19" s="121" t="s">
        <v>43</v>
      </c>
      <c r="C19" s="113" t="s">
        <v>31</v>
      </c>
      <c r="D19" s="114">
        <f>34.35*0.15</f>
        <v>5.1524999999999999</v>
      </c>
      <c r="E19" s="115"/>
      <c r="F19" s="115">
        <f t="shared" si="0"/>
        <v>0</v>
      </c>
      <c r="G19" s="123"/>
    </row>
    <row r="20" spans="1:7">
      <c r="A20" s="111"/>
      <c r="B20" s="121"/>
      <c r="C20" s="113"/>
      <c r="D20" s="114"/>
      <c r="E20" s="115"/>
      <c r="F20" s="115"/>
      <c r="G20" s="123"/>
    </row>
    <row r="21" spans="1:7">
      <c r="A21" s="105">
        <v>3</v>
      </c>
      <c r="B21" s="215" t="s">
        <v>44</v>
      </c>
      <c r="C21" s="216"/>
      <c r="D21" s="216"/>
      <c r="E21" s="216"/>
      <c r="F21" s="217"/>
      <c r="G21" s="106">
        <f>+SUM(F23:F25)</f>
        <v>0</v>
      </c>
    </row>
    <row r="22" spans="1:7">
      <c r="A22" s="111"/>
      <c r="B22" s="121"/>
      <c r="C22" s="113"/>
      <c r="D22" s="114"/>
      <c r="E22" s="115"/>
      <c r="F22" s="115"/>
      <c r="G22" s="123"/>
    </row>
    <row r="23" spans="1:7" ht="85.2">
      <c r="A23" s="111" t="s">
        <v>45</v>
      </c>
      <c r="B23" s="124" t="s">
        <v>46</v>
      </c>
      <c r="C23" s="113" t="s">
        <v>34</v>
      </c>
      <c r="D23" s="114">
        <v>3</v>
      </c>
      <c r="E23" s="115"/>
      <c r="F23" s="115">
        <f t="shared" ref="F23" si="1">D23*E23</f>
        <v>0</v>
      </c>
      <c r="G23" s="123"/>
    </row>
    <row r="24" spans="1:7" ht="6.9" customHeight="1">
      <c r="A24" s="117"/>
      <c r="B24" s="125"/>
      <c r="C24" s="125"/>
      <c r="D24" s="125"/>
      <c r="E24" s="126"/>
      <c r="F24" s="126"/>
      <c r="G24" s="127"/>
    </row>
    <row r="25" spans="1:7">
      <c r="A25" s="105">
        <v>4</v>
      </c>
      <c r="B25" s="215" t="s">
        <v>47</v>
      </c>
      <c r="C25" s="216"/>
      <c r="D25" s="216"/>
      <c r="E25" s="216"/>
      <c r="F25" s="217"/>
      <c r="G25" s="106">
        <f>SUM(F27:F30)</f>
        <v>0</v>
      </c>
    </row>
    <row r="26" spans="1:7">
      <c r="A26" s="128"/>
      <c r="B26" s="124"/>
      <c r="C26" s="113"/>
      <c r="D26" s="114"/>
      <c r="E26" s="115"/>
      <c r="F26" s="115"/>
      <c r="G26" s="123"/>
    </row>
    <row r="27" spans="1:7" ht="82.8">
      <c r="A27" s="128" t="s">
        <v>48</v>
      </c>
      <c r="B27" s="124" t="s">
        <v>49</v>
      </c>
      <c r="C27" s="113" t="s">
        <v>34</v>
      </c>
      <c r="D27" s="114">
        <f>15*2.7</f>
        <v>40.5</v>
      </c>
      <c r="E27" s="115"/>
      <c r="F27" s="115">
        <f>+D27*E27</f>
        <v>0</v>
      </c>
      <c r="G27" s="123"/>
    </row>
    <row r="28" spans="1:7" ht="27.6">
      <c r="A28" s="128" t="s">
        <v>50</v>
      </c>
      <c r="B28" s="129" t="s">
        <v>51</v>
      </c>
      <c r="C28" s="113" t="s">
        <v>34</v>
      </c>
      <c r="D28" s="114">
        <f>27*2.95+D27</f>
        <v>120.15</v>
      </c>
      <c r="E28" s="115"/>
      <c r="F28" s="115">
        <f>+D28*E28</f>
        <v>0</v>
      </c>
      <c r="G28" s="123"/>
    </row>
    <row r="29" spans="1:7" ht="27.6">
      <c r="A29" s="128" t="s">
        <v>52</v>
      </c>
      <c r="B29" s="129" t="s">
        <v>53</v>
      </c>
      <c r="C29" s="113" t="s">
        <v>34</v>
      </c>
      <c r="D29" s="114">
        <v>34.35</v>
      </c>
      <c r="E29" s="115"/>
      <c r="F29" s="115">
        <f>+D29*E29</f>
        <v>0</v>
      </c>
      <c r="G29" s="123"/>
    </row>
    <row r="30" spans="1:7" ht="55.2">
      <c r="A30" s="128" t="s">
        <v>54</v>
      </c>
      <c r="B30" s="124" t="s">
        <v>55</v>
      </c>
      <c r="C30" s="113" t="s">
        <v>34</v>
      </c>
      <c r="D30" s="114">
        <v>2.4300000000000002</v>
      </c>
      <c r="E30" s="115"/>
      <c r="F30" s="115">
        <f>+D30*E30</f>
        <v>0</v>
      </c>
      <c r="G30" s="123"/>
    </row>
    <row r="31" spans="1:7">
      <c r="A31" s="128"/>
      <c r="B31" s="124"/>
      <c r="C31" s="113"/>
      <c r="D31" s="114"/>
      <c r="E31" s="115"/>
      <c r="F31" s="115"/>
      <c r="G31" s="123"/>
    </row>
    <row r="32" spans="1:7">
      <c r="A32" s="105">
        <v>5</v>
      </c>
      <c r="B32" s="215" t="s">
        <v>56</v>
      </c>
      <c r="C32" s="216"/>
      <c r="D32" s="216"/>
      <c r="E32" s="216"/>
      <c r="F32" s="217"/>
      <c r="G32" s="106">
        <f>SUM(F35:F39)</f>
        <v>0</v>
      </c>
    </row>
    <row r="33" spans="1:7" ht="6.9" customHeight="1">
      <c r="A33" s="128"/>
      <c r="B33" s="124"/>
      <c r="C33" s="130"/>
      <c r="D33" s="114"/>
      <c r="E33" s="115"/>
      <c r="F33" s="115"/>
      <c r="G33" s="123"/>
    </row>
    <row r="34" spans="1:7">
      <c r="A34" s="128" t="s">
        <v>57</v>
      </c>
      <c r="B34" s="131" t="s">
        <v>58</v>
      </c>
      <c r="C34" s="130"/>
      <c r="D34" s="114"/>
      <c r="E34" s="115"/>
      <c r="F34" s="115"/>
      <c r="G34" s="123"/>
    </row>
    <row r="35" spans="1:7" ht="69">
      <c r="A35" s="128" t="s">
        <v>59</v>
      </c>
      <c r="B35" s="124" t="s">
        <v>60</v>
      </c>
      <c r="C35" s="113" t="s">
        <v>61</v>
      </c>
      <c r="D35" s="114">
        <v>1</v>
      </c>
      <c r="E35" s="115"/>
      <c r="F35" s="115">
        <f>+D35*E35</f>
        <v>0</v>
      </c>
      <c r="G35" s="123"/>
    </row>
    <row r="36" spans="1:7" ht="69">
      <c r="A36" s="128" t="s">
        <v>62</v>
      </c>
      <c r="B36" s="124" t="s">
        <v>63</v>
      </c>
      <c r="C36" s="113" t="s">
        <v>61</v>
      </c>
      <c r="D36" s="114">
        <v>1</v>
      </c>
      <c r="E36" s="115"/>
      <c r="F36" s="115">
        <f t="shared" ref="F36:F39" si="2">+D36*E36</f>
        <v>0</v>
      </c>
      <c r="G36" s="123"/>
    </row>
    <row r="37" spans="1:7" ht="69">
      <c r="A37" s="128" t="s">
        <v>64</v>
      </c>
      <c r="B37" s="124" t="s">
        <v>65</v>
      </c>
      <c r="C37" s="113" t="s">
        <v>61</v>
      </c>
      <c r="D37" s="114">
        <v>1</v>
      </c>
      <c r="E37" s="115"/>
      <c r="F37" s="115">
        <f t="shared" si="2"/>
        <v>0</v>
      </c>
      <c r="G37" s="123"/>
    </row>
    <row r="38" spans="1:7" ht="55.2">
      <c r="A38" s="128" t="s">
        <v>66</v>
      </c>
      <c r="B38" s="132" t="s">
        <v>67</v>
      </c>
      <c r="C38" s="113" t="s">
        <v>34</v>
      </c>
      <c r="D38" s="133">
        <f>+(0.7+1.39)*2.1</f>
        <v>4.3890000000000002</v>
      </c>
      <c r="E38" s="134"/>
      <c r="F38" s="115">
        <f t="shared" si="2"/>
        <v>0</v>
      </c>
      <c r="G38" s="135"/>
    </row>
    <row r="39" spans="1:7" ht="55.2">
      <c r="A39" s="128" t="s">
        <v>68</v>
      </c>
      <c r="B39" s="132" t="s">
        <v>69</v>
      </c>
      <c r="C39" s="113" t="s">
        <v>34</v>
      </c>
      <c r="D39" s="133">
        <v>2.4300000000000002</v>
      </c>
      <c r="E39" s="134"/>
      <c r="F39" s="115">
        <f t="shared" si="2"/>
        <v>0</v>
      </c>
      <c r="G39" s="135"/>
    </row>
    <row r="40" spans="1:7">
      <c r="A40" s="136"/>
      <c r="B40" s="129"/>
      <c r="C40" s="137"/>
      <c r="D40" s="133"/>
      <c r="E40" s="134"/>
      <c r="F40" s="138"/>
      <c r="G40" s="135"/>
    </row>
    <row r="41" spans="1:7">
      <c r="A41" s="105">
        <v>6</v>
      </c>
      <c r="B41" s="215" t="s">
        <v>70</v>
      </c>
      <c r="C41" s="216"/>
      <c r="D41" s="216"/>
      <c r="E41" s="216"/>
      <c r="F41" s="217"/>
      <c r="G41" s="106">
        <f>+SUM(F43)</f>
        <v>0</v>
      </c>
    </row>
    <row r="42" spans="1:7" ht="6.9" customHeight="1">
      <c r="A42" s="128"/>
      <c r="B42" s="124"/>
      <c r="C42" s="130"/>
      <c r="D42" s="114"/>
      <c r="E42" s="115"/>
      <c r="F42" s="115"/>
      <c r="G42" s="123"/>
    </row>
    <row r="43" spans="1:7" ht="55.2">
      <c r="A43" s="128" t="s">
        <v>71</v>
      </c>
      <c r="B43" s="124" t="s">
        <v>72</v>
      </c>
      <c r="C43" s="113" t="s">
        <v>73</v>
      </c>
      <c r="D43" s="114">
        <v>1</v>
      </c>
      <c r="E43" s="115"/>
      <c r="F43" s="115">
        <f t="shared" ref="F43" si="3">D43*E43</f>
        <v>0</v>
      </c>
      <c r="G43" s="123"/>
    </row>
    <row r="44" spans="1:7">
      <c r="A44" s="128"/>
      <c r="B44" s="124"/>
      <c r="C44" s="113"/>
      <c r="D44" s="114"/>
      <c r="E44" s="115"/>
      <c r="F44" s="115"/>
      <c r="G44" s="123"/>
    </row>
    <row r="45" spans="1:7">
      <c r="A45" s="105">
        <v>7</v>
      </c>
      <c r="B45" s="215" t="s">
        <v>74</v>
      </c>
      <c r="C45" s="216"/>
      <c r="D45" s="216"/>
      <c r="E45" s="216"/>
      <c r="F45" s="217"/>
      <c r="G45" s="106">
        <f>SUM(F47:F47)</f>
        <v>0</v>
      </c>
    </row>
    <row r="46" spans="1:7">
      <c r="A46" s="136"/>
      <c r="B46" s="129"/>
      <c r="C46" s="139"/>
      <c r="D46" s="133"/>
      <c r="E46" s="134"/>
      <c r="F46" s="138"/>
      <c r="G46" s="135"/>
    </row>
    <row r="47" spans="1:7" ht="55.2">
      <c r="A47" s="136" t="s">
        <v>75</v>
      </c>
      <c r="B47" s="129" t="s">
        <v>76</v>
      </c>
      <c r="C47" s="139" t="s">
        <v>73</v>
      </c>
      <c r="D47" s="133">
        <v>1</v>
      </c>
      <c r="E47" s="134"/>
      <c r="F47" s="138">
        <f>+D47*E47</f>
        <v>0</v>
      </c>
      <c r="G47" s="135"/>
    </row>
    <row r="48" spans="1:7">
      <c r="A48" s="128"/>
      <c r="B48" s="124"/>
      <c r="C48" s="113"/>
      <c r="D48" s="114"/>
      <c r="E48" s="115"/>
      <c r="F48" s="115"/>
      <c r="G48" s="123"/>
    </row>
    <row r="49" spans="1:7">
      <c r="A49" s="105">
        <v>8</v>
      </c>
      <c r="B49" s="215" t="s">
        <v>93</v>
      </c>
      <c r="C49" s="216"/>
      <c r="D49" s="216"/>
      <c r="E49" s="216"/>
      <c r="F49" s="217"/>
      <c r="G49" s="106">
        <f>SUM(F51:F51)</f>
        <v>0</v>
      </c>
    </row>
    <row r="50" spans="1:7">
      <c r="A50" s="128"/>
      <c r="B50" s="129"/>
      <c r="C50" s="139"/>
      <c r="D50" s="133"/>
      <c r="E50" s="134"/>
      <c r="F50" s="138"/>
      <c r="G50" s="135"/>
    </row>
    <row r="51" spans="1:7" ht="69">
      <c r="A51" s="128" t="s">
        <v>78</v>
      </c>
      <c r="B51" s="129" t="s">
        <v>94</v>
      </c>
      <c r="C51" s="139" t="s">
        <v>73</v>
      </c>
      <c r="D51" s="133">
        <v>1</v>
      </c>
      <c r="E51" s="134"/>
      <c r="F51" s="138">
        <f>+D51*E51</f>
        <v>0</v>
      </c>
      <c r="G51" s="135"/>
    </row>
    <row r="52" spans="1:7">
      <c r="A52" s="128"/>
      <c r="B52" s="124"/>
      <c r="C52" s="113"/>
      <c r="D52" s="114"/>
      <c r="E52" s="115"/>
      <c r="F52" s="115"/>
      <c r="G52" s="123"/>
    </row>
    <row r="53" spans="1:7">
      <c r="A53" s="105">
        <v>9</v>
      </c>
      <c r="B53" s="215" t="s">
        <v>95</v>
      </c>
      <c r="C53" s="216"/>
      <c r="D53" s="216"/>
      <c r="E53" s="216"/>
      <c r="F53" s="217"/>
      <c r="G53" s="106">
        <f>+F55</f>
        <v>0</v>
      </c>
    </row>
    <row r="54" spans="1:7">
      <c r="A54" s="128"/>
      <c r="B54" s="124"/>
      <c r="C54" s="113"/>
      <c r="D54" s="114"/>
      <c r="E54" s="115"/>
      <c r="F54" s="115"/>
      <c r="G54" s="123"/>
    </row>
    <row r="55" spans="1:7" ht="69">
      <c r="A55" s="128" t="s">
        <v>82</v>
      </c>
      <c r="B55" s="129" t="s">
        <v>79</v>
      </c>
      <c r="C55" s="140" t="s">
        <v>73</v>
      </c>
      <c r="D55" s="114">
        <v>1</v>
      </c>
      <c r="E55" s="115"/>
      <c r="F55" s="115">
        <f>+D55*E55</f>
        <v>0</v>
      </c>
      <c r="G55" s="123"/>
    </row>
    <row r="56" spans="1:7" ht="55.2">
      <c r="A56" s="128" t="s">
        <v>84</v>
      </c>
      <c r="B56" s="132" t="s">
        <v>67</v>
      </c>
      <c r="C56" s="113" t="s">
        <v>34</v>
      </c>
      <c r="D56" s="114">
        <f>1.35*0.6</f>
        <v>0.81</v>
      </c>
      <c r="E56" s="115"/>
      <c r="F56" s="115"/>
      <c r="G56" s="123"/>
    </row>
    <row r="57" spans="1:7">
      <c r="A57" s="128"/>
      <c r="B57" s="129"/>
      <c r="C57" s="113"/>
      <c r="D57" s="114"/>
      <c r="E57" s="115"/>
      <c r="F57" s="115"/>
      <c r="G57" s="123"/>
    </row>
    <row r="58" spans="1:7">
      <c r="A58" s="105">
        <v>10</v>
      </c>
      <c r="B58" s="215" t="s">
        <v>81</v>
      </c>
      <c r="C58" s="216"/>
      <c r="D58" s="216"/>
      <c r="E58" s="216"/>
      <c r="F58" s="217"/>
      <c r="G58" s="106">
        <f>SUM(F60:F63)</f>
        <v>0</v>
      </c>
    </row>
    <row r="59" spans="1:7">
      <c r="A59" s="128"/>
      <c r="B59" s="141"/>
      <c r="C59" s="140"/>
      <c r="D59" s="142"/>
      <c r="E59" s="143"/>
      <c r="F59" s="143"/>
      <c r="G59" s="144"/>
    </row>
    <row r="60" spans="1:7" ht="41.4">
      <c r="A60" s="136" t="s">
        <v>87</v>
      </c>
      <c r="B60" s="129" t="s">
        <v>96</v>
      </c>
      <c r="C60" s="140" t="s">
        <v>61</v>
      </c>
      <c r="D60" s="114">
        <v>1</v>
      </c>
      <c r="E60" s="115"/>
      <c r="F60" s="115">
        <f>+D60*E60</f>
        <v>0</v>
      </c>
      <c r="G60" s="123"/>
    </row>
    <row r="61" spans="1:7" ht="41.4">
      <c r="A61" s="136"/>
      <c r="B61" s="129" t="s">
        <v>97</v>
      </c>
      <c r="C61" s="140" t="s">
        <v>61</v>
      </c>
      <c r="D61" s="114">
        <v>1</v>
      </c>
      <c r="E61" s="115"/>
      <c r="F61" s="115">
        <f t="shared" ref="F61:F63" si="4">+D61*E61</f>
        <v>0</v>
      </c>
      <c r="G61" s="123"/>
    </row>
    <row r="62" spans="1:7" ht="41.4">
      <c r="A62" s="136"/>
      <c r="B62" s="129" t="s">
        <v>98</v>
      </c>
      <c r="C62" s="140" t="s">
        <v>61</v>
      </c>
      <c r="D62" s="114">
        <v>1</v>
      </c>
      <c r="E62" s="115"/>
      <c r="F62" s="115">
        <f t="shared" si="4"/>
        <v>0</v>
      </c>
      <c r="G62" s="123"/>
    </row>
    <row r="63" spans="1:7" ht="41.4">
      <c r="A63" s="136" t="s">
        <v>99</v>
      </c>
      <c r="B63" s="132" t="s">
        <v>100</v>
      </c>
      <c r="C63" s="113" t="s">
        <v>61</v>
      </c>
      <c r="D63" s="114">
        <v>1</v>
      </c>
      <c r="E63" s="115"/>
      <c r="F63" s="115">
        <f t="shared" si="4"/>
        <v>0</v>
      </c>
      <c r="G63" s="123"/>
    </row>
    <row r="64" spans="1:7" ht="15" thickBot="1">
      <c r="A64" s="136"/>
      <c r="B64" s="129"/>
      <c r="C64" s="137"/>
      <c r="D64" s="133"/>
      <c r="E64" s="134"/>
      <c r="F64" s="138"/>
      <c r="G64" s="135"/>
    </row>
    <row r="65" spans="1:7">
      <c r="A65" s="147"/>
      <c r="B65" s="224"/>
      <c r="C65" s="225"/>
      <c r="D65" s="225"/>
      <c r="E65" s="225"/>
      <c r="F65" s="226"/>
      <c r="G65" s="227">
        <f>SUM(G10:G64)</f>
        <v>0</v>
      </c>
    </row>
    <row r="66" spans="1:7" ht="15" thickBot="1">
      <c r="A66" s="148"/>
      <c r="B66" s="229" t="s">
        <v>89</v>
      </c>
      <c r="C66" s="230"/>
      <c r="D66" s="230"/>
      <c r="E66" s="230"/>
      <c r="F66" s="231"/>
      <c r="G66" s="228"/>
    </row>
  </sheetData>
  <mergeCells count="22">
    <mergeCell ref="B65:F65"/>
    <mergeCell ref="G65:G66"/>
    <mergeCell ref="B66:F66"/>
    <mergeCell ref="B41:F41"/>
    <mergeCell ref="B45:F45"/>
    <mergeCell ref="B49:F49"/>
    <mergeCell ref="B53:F53"/>
    <mergeCell ref="B58:F58"/>
    <mergeCell ref="F4:G4"/>
    <mergeCell ref="F5:G5"/>
    <mergeCell ref="F7:G7"/>
    <mergeCell ref="A9:G9"/>
    <mergeCell ref="B10:F10"/>
    <mergeCell ref="B15:F15"/>
    <mergeCell ref="B21:F21"/>
    <mergeCell ref="B25:F25"/>
    <mergeCell ref="B32:F32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workbookViewId="0">
      <selection activeCell="E37" sqref="E37"/>
    </sheetView>
  </sheetViews>
  <sheetFormatPr defaultRowHeight="14.4"/>
  <cols>
    <col min="1" max="1" width="9" style="94" bestFit="1" customWidth="1"/>
    <col min="2" max="2" width="39.5546875" style="95" customWidth="1"/>
    <col min="3" max="3" width="4.5546875" style="95" customWidth="1"/>
    <col min="4" max="4" width="6.5546875" style="95" customWidth="1"/>
    <col min="5" max="5" width="14.109375" style="96" customWidth="1"/>
    <col min="6" max="6" width="12.33203125" style="96" bestFit="1" customWidth="1"/>
    <col min="7" max="7" width="16.33203125" style="95" customWidth="1"/>
  </cols>
  <sheetData>
    <row r="1" spans="1:7" ht="8.1" customHeight="1"/>
    <row r="2" spans="1:7">
      <c r="A2" s="97" t="s">
        <v>10</v>
      </c>
      <c r="B2" s="97"/>
      <c r="C2" s="97"/>
      <c r="D2" s="97"/>
      <c r="E2" s="98"/>
      <c r="F2" s="99"/>
      <c r="G2" s="97"/>
    </row>
    <row r="3" spans="1:7">
      <c r="A3" s="100" t="s">
        <v>11</v>
      </c>
      <c r="B3" s="97" t="s">
        <v>90</v>
      </c>
      <c r="C3" s="100"/>
      <c r="E3" s="101"/>
      <c r="F3" s="101"/>
      <c r="G3" s="100"/>
    </row>
    <row r="4" spans="1:7">
      <c r="A4" s="100" t="s">
        <v>13</v>
      </c>
      <c r="B4" s="97"/>
      <c r="C4" s="100"/>
      <c r="D4" s="100"/>
      <c r="E4" s="98"/>
      <c r="F4" s="206"/>
      <c r="G4" s="206"/>
    </row>
    <row r="5" spans="1:7">
      <c r="A5" s="100" t="s">
        <v>14</v>
      </c>
      <c r="B5" s="97" t="s">
        <v>101</v>
      </c>
      <c r="C5" s="100"/>
      <c r="D5" s="100"/>
      <c r="E5" s="98"/>
      <c r="F5" s="206" t="s">
        <v>16</v>
      </c>
      <c r="G5" s="206"/>
    </row>
    <row r="6" spans="1:7" ht="15" thickBot="1">
      <c r="A6" s="100"/>
      <c r="B6" s="97"/>
      <c r="C6" s="100"/>
      <c r="D6" s="100"/>
      <c r="E6" s="102"/>
      <c r="F6" s="102"/>
      <c r="G6" s="100"/>
    </row>
    <row r="7" spans="1:7" ht="15" thickBot="1">
      <c r="A7" s="218" t="s">
        <v>17</v>
      </c>
      <c r="B7" s="218" t="s">
        <v>18</v>
      </c>
      <c r="C7" s="218" t="s">
        <v>19</v>
      </c>
      <c r="D7" s="220" t="s">
        <v>20</v>
      </c>
      <c r="E7" s="222" t="s">
        <v>21</v>
      </c>
      <c r="F7" s="207" t="s">
        <v>22</v>
      </c>
      <c r="G7" s="208"/>
    </row>
    <row r="8" spans="1:7" ht="15" thickBot="1">
      <c r="A8" s="219"/>
      <c r="B8" s="219" t="s">
        <v>23</v>
      </c>
      <c r="C8" s="219" t="s">
        <v>24</v>
      </c>
      <c r="D8" s="221" t="s">
        <v>25</v>
      </c>
      <c r="E8" s="223"/>
      <c r="F8" s="103" t="s">
        <v>26</v>
      </c>
      <c r="G8" s="104" t="s">
        <v>27</v>
      </c>
    </row>
    <row r="9" spans="1:7" ht="12" customHeight="1">
      <c r="A9" s="212"/>
      <c r="B9" s="213"/>
      <c r="C9" s="213"/>
      <c r="D9" s="213"/>
      <c r="E9" s="213"/>
      <c r="F9" s="213"/>
      <c r="G9" s="214"/>
    </row>
    <row r="10" spans="1:7">
      <c r="A10" s="105">
        <v>1</v>
      </c>
      <c r="B10" s="215" t="s">
        <v>28</v>
      </c>
      <c r="C10" s="216"/>
      <c r="D10" s="216"/>
      <c r="E10" s="216"/>
      <c r="F10" s="217"/>
      <c r="G10" s="106">
        <f>+SUM(F12:F13)</f>
        <v>0</v>
      </c>
    </row>
    <row r="11" spans="1:7" ht="6.9" customHeight="1">
      <c r="A11" s="107"/>
      <c r="B11" s="108"/>
      <c r="C11" s="108"/>
      <c r="D11" s="108"/>
      <c r="E11" s="109"/>
      <c r="F11" s="109"/>
      <c r="G11" s="110"/>
    </row>
    <row r="12" spans="1:7" ht="55.2">
      <c r="A12" s="111" t="s">
        <v>29</v>
      </c>
      <c r="B12" s="112" t="s">
        <v>30</v>
      </c>
      <c r="C12" s="113" t="s">
        <v>31</v>
      </c>
      <c r="D12" s="114">
        <f>41.12*0.15</f>
        <v>6.1679999999999993</v>
      </c>
      <c r="E12" s="115"/>
      <c r="F12" s="115">
        <f>+D12*E12</f>
        <v>0</v>
      </c>
      <c r="G12" s="116"/>
    </row>
    <row r="13" spans="1:7" ht="55.2">
      <c r="A13" s="111" t="s">
        <v>32</v>
      </c>
      <c r="B13" s="112" t="s">
        <v>92</v>
      </c>
      <c r="C13" s="113" t="s">
        <v>34</v>
      </c>
      <c r="D13" s="114">
        <f>+(0.9+1.46)*2.1</f>
        <v>4.9559999999999995</v>
      </c>
      <c r="E13" s="115"/>
      <c r="F13" s="115">
        <f>D13*E13</f>
        <v>0</v>
      </c>
      <c r="G13" s="116"/>
    </row>
    <row r="14" spans="1:7">
      <c r="A14" s="111"/>
      <c r="B14" s="112"/>
      <c r="C14" s="113"/>
      <c r="D14" s="114"/>
      <c r="E14" s="115"/>
      <c r="F14" s="115"/>
      <c r="G14" s="116"/>
    </row>
    <row r="15" spans="1:7">
      <c r="A15" s="105">
        <v>2</v>
      </c>
      <c r="B15" s="215" t="s">
        <v>102</v>
      </c>
      <c r="C15" s="216"/>
      <c r="D15" s="216"/>
      <c r="E15" s="216"/>
      <c r="F15" s="217"/>
      <c r="G15" s="106">
        <f>+SUM(F17)</f>
        <v>0</v>
      </c>
    </row>
    <row r="16" spans="1:7">
      <c r="A16" s="111"/>
      <c r="B16" s="112"/>
      <c r="C16" s="113"/>
      <c r="D16" s="114"/>
      <c r="E16" s="115"/>
      <c r="F16" s="115"/>
      <c r="G16" s="116"/>
    </row>
    <row r="17" spans="1:7" ht="55.2">
      <c r="A17" s="111" t="s">
        <v>38</v>
      </c>
      <c r="B17" s="112" t="s">
        <v>103</v>
      </c>
      <c r="C17" s="113" t="s">
        <v>31</v>
      </c>
      <c r="D17" s="114">
        <f>0.8*0.8*0.7*10</f>
        <v>4.4800000000000004</v>
      </c>
      <c r="E17" s="115"/>
      <c r="F17" s="115">
        <f t="shared" ref="F17" si="0">D17*E17</f>
        <v>0</v>
      </c>
      <c r="G17" s="116"/>
    </row>
    <row r="18" spans="1:7" ht="6.9" customHeight="1">
      <c r="A18" s="117"/>
      <c r="B18" s="118"/>
      <c r="C18" s="118"/>
      <c r="D18" s="118"/>
      <c r="E18" s="119"/>
      <c r="F18" s="115"/>
      <c r="G18" s="120"/>
    </row>
    <row r="19" spans="1:7">
      <c r="A19" s="105">
        <v>3</v>
      </c>
      <c r="B19" s="215" t="s">
        <v>104</v>
      </c>
      <c r="C19" s="216"/>
      <c r="D19" s="216"/>
      <c r="E19" s="216"/>
      <c r="F19" s="217"/>
      <c r="G19" s="106">
        <f>SUM(F21:F26)</f>
        <v>0</v>
      </c>
    </row>
    <row r="20" spans="1:7">
      <c r="A20" s="107"/>
      <c r="B20" s="108"/>
      <c r="C20" s="108"/>
      <c r="D20" s="108"/>
      <c r="E20" s="109"/>
      <c r="F20" s="109"/>
      <c r="G20" s="110"/>
    </row>
    <row r="21" spans="1:7" ht="55.2">
      <c r="A21" s="111" t="s">
        <v>45</v>
      </c>
      <c r="B21" s="121" t="s">
        <v>105</v>
      </c>
      <c r="C21" s="113" t="s">
        <v>34</v>
      </c>
      <c r="D21" s="114">
        <f>0.7*0.7*0.1*10</f>
        <v>0.48999999999999994</v>
      </c>
      <c r="E21" s="149"/>
      <c r="F21" s="115">
        <f t="shared" ref="F21:F26" si="1">D21*E21</f>
        <v>0</v>
      </c>
      <c r="G21" s="110"/>
    </row>
    <row r="22" spans="1:7" ht="96.6">
      <c r="A22" s="111" t="s">
        <v>106</v>
      </c>
      <c r="B22" s="121" t="s">
        <v>39</v>
      </c>
      <c r="C22" s="122"/>
      <c r="D22" s="114"/>
      <c r="E22" s="115"/>
      <c r="F22" s="115"/>
      <c r="G22" s="123"/>
    </row>
    <row r="23" spans="1:7" ht="16.8">
      <c r="A23" s="111" t="s">
        <v>107</v>
      </c>
      <c r="B23" s="121" t="s">
        <v>108</v>
      </c>
      <c r="C23" s="113" t="s">
        <v>31</v>
      </c>
      <c r="D23" s="114">
        <f>0.5*0.5*0.4*10</f>
        <v>1</v>
      </c>
      <c r="E23" s="115"/>
      <c r="F23" s="115">
        <f t="shared" si="1"/>
        <v>0</v>
      </c>
      <c r="G23" s="123"/>
    </row>
    <row r="24" spans="1:7" ht="16.8">
      <c r="A24" s="111" t="s">
        <v>109</v>
      </c>
      <c r="B24" s="121" t="s">
        <v>110</v>
      </c>
      <c r="C24" s="113" t="s">
        <v>31</v>
      </c>
      <c r="D24" s="114">
        <f>0.2*0.2*3*10</f>
        <v>1.2000000000000002</v>
      </c>
      <c r="E24" s="115"/>
      <c r="F24" s="115">
        <f t="shared" si="1"/>
        <v>0</v>
      </c>
      <c r="G24" s="123"/>
    </row>
    <row r="25" spans="1:7" ht="16.8">
      <c r="A25" s="111" t="s">
        <v>111</v>
      </c>
      <c r="B25" s="121" t="s">
        <v>41</v>
      </c>
      <c r="C25" s="113" t="s">
        <v>31</v>
      </c>
      <c r="D25" s="115">
        <f>0.2*0.4*9.8*2+0.2*0.4*5.83*2+0.2*0.4*3.8</f>
        <v>2.8048000000000011</v>
      </c>
      <c r="E25" s="115"/>
      <c r="F25" s="115">
        <f>D25*E25</f>
        <v>0</v>
      </c>
      <c r="G25" s="123"/>
    </row>
    <row r="26" spans="1:7" ht="16.8">
      <c r="A26" s="111" t="s">
        <v>112</v>
      </c>
      <c r="B26" s="121" t="s">
        <v>43</v>
      </c>
      <c r="C26" s="113" t="s">
        <v>31</v>
      </c>
      <c r="D26" s="114">
        <f>41.12*0.15</f>
        <v>6.1679999999999993</v>
      </c>
      <c r="E26" s="115"/>
      <c r="F26" s="115">
        <f t="shared" si="1"/>
        <v>0</v>
      </c>
      <c r="G26" s="123"/>
    </row>
    <row r="27" spans="1:7" ht="6.9" customHeight="1">
      <c r="A27" s="117"/>
      <c r="B27" s="125"/>
      <c r="C27" s="125"/>
      <c r="D27" s="125"/>
      <c r="E27" s="126"/>
      <c r="F27" s="126"/>
      <c r="G27" s="127"/>
    </row>
    <row r="28" spans="1:7">
      <c r="A28" s="105">
        <v>4</v>
      </c>
      <c r="B28" s="215" t="s">
        <v>113</v>
      </c>
      <c r="C28" s="216"/>
      <c r="D28" s="216"/>
      <c r="E28" s="216"/>
      <c r="F28" s="217"/>
      <c r="G28" s="106">
        <f>+SUM(F30:F31)</f>
        <v>0</v>
      </c>
    </row>
    <row r="29" spans="1:7" ht="6.9" customHeight="1">
      <c r="A29" s="107"/>
      <c r="B29" s="108"/>
      <c r="C29" s="108"/>
      <c r="D29" s="108"/>
      <c r="E29" s="109"/>
      <c r="F29" s="109"/>
      <c r="G29" s="110"/>
    </row>
    <row r="30" spans="1:7" ht="69">
      <c r="A30" s="128" t="s">
        <v>48</v>
      </c>
      <c r="B30" s="124" t="s">
        <v>114</v>
      </c>
      <c r="C30" s="113" t="s">
        <v>34</v>
      </c>
      <c r="D30" s="114">
        <f>+(5.83+3.95+1.45+1.46+0.96+1.48+0.46)*2.7</f>
        <v>42.093000000000011</v>
      </c>
      <c r="E30" s="115"/>
      <c r="F30" s="115">
        <f t="shared" ref="F30:F31" si="2">D30*E30</f>
        <v>0</v>
      </c>
      <c r="G30" s="123"/>
    </row>
    <row r="31" spans="1:7" ht="85.2">
      <c r="A31" s="128" t="s">
        <v>50</v>
      </c>
      <c r="B31" s="124" t="s">
        <v>46</v>
      </c>
      <c r="C31" s="113" t="s">
        <v>34</v>
      </c>
      <c r="D31" s="114">
        <v>4</v>
      </c>
      <c r="E31" s="115"/>
      <c r="F31" s="115">
        <f t="shared" si="2"/>
        <v>0</v>
      </c>
      <c r="G31" s="123"/>
    </row>
    <row r="32" spans="1:7">
      <c r="A32" s="136"/>
      <c r="B32" s="129"/>
      <c r="C32" s="137"/>
      <c r="D32" s="133"/>
      <c r="E32" s="134"/>
      <c r="F32" s="138"/>
      <c r="G32" s="135"/>
    </row>
    <row r="33" spans="1:7">
      <c r="A33" s="105">
        <v>5</v>
      </c>
      <c r="B33" s="215" t="s">
        <v>115</v>
      </c>
      <c r="C33" s="216"/>
      <c r="D33" s="216"/>
      <c r="E33" s="216"/>
      <c r="F33" s="217"/>
      <c r="G33" s="106">
        <f>SUM(F35:F37)</f>
        <v>0</v>
      </c>
    </row>
    <row r="34" spans="1:7">
      <c r="A34" s="128"/>
      <c r="B34" s="124"/>
      <c r="C34" s="113"/>
      <c r="D34" s="114"/>
      <c r="E34" s="115"/>
      <c r="F34" s="115"/>
      <c r="G34" s="123"/>
    </row>
    <row r="35" spans="1:7" ht="82.8">
      <c r="A35" s="128" t="s">
        <v>57</v>
      </c>
      <c r="B35" s="124" t="s">
        <v>49</v>
      </c>
      <c r="C35" s="113" t="s">
        <v>34</v>
      </c>
      <c r="D35" s="114">
        <f>+(5.83+3.95+1.45+1.46+0.96+1.48+0.46+5.8)*2.95</f>
        <v>63.100500000000018</v>
      </c>
      <c r="E35" s="115"/>
      <c r="F35" s="115">
        <f>+D35*E35</f>
        <v>0</v>
      </c>
      <c r="G35" s="123"/>
    </row>
    <row r="36" spans="1:7" ht="27.6">
      <c r="A36" s="128" t="s">
        <v>116</v>
      </c>
      <c r="B36" s="129" t="s">
        <v>51</v>
      </c>
      <c r="C36" s="113" t="s">
        <v>34</v>
      </c>
      <c r="D36" s="114">
        <f>19.87*2.95+D35</f>
        <v>121.71700000000003</v>
      </c>
      <c r="E36" s="115"/>
      <c r="F36" s="115">
        <f>+D36*E36</f>
        <v>0</v>
      </c>
      <c r="G36" s="123"/>
    </row>
    <row r="37" spans="1:7" ht="55.2">
      <c r="A37" s="128" t="s">
        <v>117</v>
      </c>
      <c r="B37" s="124" t="s">
        <v>55</v>
      </c>
      <c r="C37" s="113" t="s">
        <v>34</v>
      </c>
      <c r="D37" s="114">
        <v>19.3</v>
      </c>
      <c r="E37" s="115"/>
      <c r="F37" s="115">
        <f>+D37*E37</f>
        <v>0</v>
      </c>
      <c r="G37" s="123"/>
    </row>
    <row r="38" spans="1:7">
      <c r="A38" s="128"/>
      <c r="B38" s="124"/>
      <c r="C38" s="113"/>
      <c r="D38" s="114"/>
      <c r="E38" s="115"/>
      <c r="F38" s="115"/>
      <c r="G38" s="123"/>
    </row>
    <row r="39" spans="1:7">
      <c r="A39" s="105">
        <v>6</v>
      </c>
      <c r="B39" s="215" t="s">
        <v>118</v>
      </c>
      <c r="C39" s="216"/>
      <c r="D39" s="216"/>
      <c r="E39" s="216"/>
      <c r="F39" s="217"/>
      <c r="G39" s="106">
        <f>+SUM(F42:F46)</f>
        <v>0</v>
      </c>
    </row>
    <row r="40" spans="1:7" ht="6.9" customHeight="1">
      <c r="A40" s="128"/>
      <c r="B40" s="124"/>
      <c r="C40" s="130"/>
      <c r="D40" s="114"/>
      <c r="E40" s="115"/>
      <c r="F40" s="115"/>
      <c r="G40" s="123"/>
    </row>
    <row r="41" spans="1:7">
      <c r="A41" s="128" t="s">
        <v>71</v>
      </c>
      <c r="B41" s="131" t="s">
        <v>58</v>
      </c>
      <c r="C41" s="130"/>
      <c r="D41" s="114"/>
      <c r="E41" s="115"/>
      <c r="F41" s="115"/>
      <c r="G41" s="123"/>
    </row>
    <row r="42" spans="1:7" ht="69">
      <c r="A42" s="128" t="s">
        <v>119</v>
      </c>
      <c r="B42" s="124" t="s">
        <v>60</v>
      </c>
      <c r="C42" s="113" t="s">
        <v>61</v>
      </c>
      <c r="D42" s="114">
        <v>1</v>
      </c>
      <c r="E42" s="115"/>
      <c r="F42" s="115">
        <f>D42*E42</f>
        <v>0</v>
      </c>
      <c r="G42" s="123"/>
    </row>
    <row r="43" spans="1:7" ht="69">
      <c r="A43" s="128" t="s">
        <v>120</v>
      </c>
      <c r="B43" s="124" t="s">
        <v>63</v>
      </c>
      <c r="C43" s="113" t="s">
        <v>61</v>
      </c>
      <c r="D43" s="114">
        <v>1</v>
      </c>
      <c r="E43" s="115"/>
      <c r="F43" s="115">
        <f t="shared" ref="F43:F46" si="3">D43*E43</f>
        <v>0</v>
      </c>
      <c r="G43" s="123"/>
    </row>
    <row r="44" spans="1:7" ht="69">
      <c r="A44" s="128" t="s">
        <v>121</v>
      </c>
      <c r="B44" s="124" t="s">
        <v>65</v>
      </c>
      <c r="C44" s="113" t="s">
        <v>61</v>
      </c>
      <c r="D44" s="114">
        <v>1</v>
      </c>
      <c r="E44" s="115"/>
      <c r="F44" s="115">
        <f t="shared" si="3"/>
        <v>0</v>
      </c>
      <c r="G44" s="123"/>
    </row>
    <row r="45" spans="1:7" ht="55.2">
      <c r="A45" s="128" t="s">
        <v>122</v>
      </c>
      <c r="B45" s="132" t="s">
        <v>67</v>
      </c>
      <c r="C45" s="113" t="s">
        <v>34</v>
      </c>
      <c r="D45" s="133">
        <f>1.8*2.1</f>
        <v>3.7800000000000002</v>
      </c>
      <c r="E45" s="134"/>
      <c r="F45" s="115">
        <f t="shared" si="3"/>
        <v>0</v>
      </c>
      <c r="G45" s="135"/>
    </row>
    <row r="46" spans="1:7" ht="55.2">
      <c r="A46" s="128" t="s">
        <v>123</v>
      </c>
      <c r="B46" s="132" t="s">
        <v>69</v>
      </c>
      <c r="C46" s="113" t="s">
        <v>34</v>
      </c>
      <c r="D46" s="133">
        <v>2.85</v>
      </c>
      <c r="E46" s="134"/>
      <c r="F46" s="115">
        <f t="shared" si="3"/>
        <v>0</v>
      </c>
      <c r="G46" s="135"/>
    </row>
    <row r="47" spans="1:7">
      <c r="A47" s="136"/>
      <c r="B47" s="129"/>
      <c r="C47" s="137"/>
      <c r="D47" s="133"/>
      <c r="E47" s="134"/>
      <c r="F47" s="138"/>
      <c r="G47" s="135"/>
    </row>
    <row r="48" spans="1:7">
      <c r="A48" s="105">
        <v>7</v>
      </c>
      <c r="B48" s="215" t="s">
        <v>124</v>
      </c>
      <c r="C48" s="216"/>
      <c r="D48" s="216"/>
      <c r="E48" s="216"/>
      <c r="F48" s="217"/>
      <c r="G48" s="106">
        <f>+SUM(F50)</f>
        <v>0</v>
      </c>
    </row>
    <row r="49" spans="1:7" ht="6.9" customHeight="1">
      <c r="A49" s="128"/>
      <c r="B49" s="124"/>
      <c r="C49" s="130"/>
      <c r="D49" s="114"/>
      <c r="E49" s="115"/>
      <c r="F49" s="115"/>
      <c r="G49" s="123"/>
    </row>
    <row r="50" spans="1:7" ht="55.2">
      <c r="A50" s="128" t="s">
        <v>75</v>
      </c>
      <c r="B50" s="124" t="s">
        <v>72</v>
      </c>
      <c r="C50" s="113" t="s">
        <v>73</v>
      </c>
      <c r="D50" s="114">
        <v>1</v>
      </c>
      <c r="E50" s="115"/>
      <c r="F50" s="115">
        <f t="shared" ref="F50" si="4">D50*E50</f>
        <v>0</v>
      </c>
      <c r="G50" s="123"/>
    </row>
    <row r="51" spans="1:7">
      <c r="A51" s="128"/>
      <c r="B51" s="124"/>
      <c r="C51" s="113"/>
      <c r="D51" s="114"/>
      <c r="E51" s="115"/>
      <c r="F51" s="115"/>
      <c r="G51" s="123"/>
    </row>
    <row r="52" spans="1:7">
      <c r="A52" s="105">
        <v>8</v>
      </c>
      <c r="B52" s="215" t="s">
        <v>125</v>
      </c>
      <c r="C52" s="216"/>
      <c r="D52" s="216"/>
      <c r="E52" s="216"/>
      <c r="F52" s="217"/>
      <c r="G52" s="106">
        <f>SUM(F54:F54)</f>
        <v>0</v>
      </c>
    </row>
    <row r="53" spans="1:7">
      <c r="A53" s="136"/>
      <c r="B53" s="129"/>
      <c r="C53" s="139"/>
      <c r="D53" s="133"/>
      <c r="E53" s="134"/>
      <c r="F53" s="138"/>
      <c r="G53" s="135"/>
    </row>
    <row r="54" spans="1:7" ht="55.2">
      <c r="A54" s="136" t="s">
        <v>78</v>
      </c>
      <c r="B54" s="129" t="s">
        <v>76</v>
      </c>
      <c r="C54" s="139" t="s">
        <v>73</v>
      </c>
      <c r="D54" s="133">
        <v>1</v>
      </c>
      <c r="E54" s="134"/>
      <c r="F54" s="138">
        <f>+D54*E54</f>
        <v>0</v>
      </c>
      <c r="G54" s="135"/>
    </row>
    <row r="55" spans="1:7">
      <c r="A55" s="128"/>
      <c r="B55" s="124"/>
      <c r="C55" s="113"/>
      <c r="D55" s="114"/>
      <c r="E55" s="115"/>
      <c r="F55" s="115"/>
      <c r="G55" s="123"/>
    </row>
    <row r="56" spans="1:7">
      <c r="A56" s="105">
        <v>9</v>
      </c>
      <c r="B56" s="215" t="s">
        <v>126</v>
      </c>
      <c r="C56" s="216"/>
      <c r="D56" s="216"/>
      <c r="E56" s="216"/>
      <c r="F56" s="217"/>
      <c r="G56" s="106">
        <f>SUM(F58:F59)</f>
        <v>0</v>
      </c>
    </row>
    <row r="57" spans="1:7">
      <c r="A57" s="136"/>
      <c r="B57" s="129"/>
      <c r="C57" s="139"/>
      <c r="D57" s="133"/>
      <c r="E57" s="134"/>
      <c r="F57" s="138"/>
      <c r="G57" s="135"/>
    </row>
    <row r="58" spans="1:7" ht="69">
      <c r="A58" s="136" t="s">
        <v>82</v>
      </c>
      <c r="B58" s="129" t="s">
        <v>94</v>
      </c>
      <c r="C58" s="139" t="s">
        <v>73</v>
      </c>
      <c r="D58" s="133">
        <v>1</v>
      </c>
      <c r="E58" s="134"/>
      <c r="F58" s="138">
        <f>+D58*E58</f>
        <v>0</v>
      </c>
      <c r="G58" s="135"/>
    </row>
    <row r="59" spans="1:7" ht="57.6">
      <c r="A59" s="136" t="s">
        <v>84</v>
      </c>
      <c r="B59" s="129" t="s">
        <v>127</v>
      </c>
      <c r="C59" s="139" t="s">
        <v>73</v>
      </c>
      <c r="D59" s="114">
        <v>1</v>
      </c>
      <c r="E59" s="115"/>
      <c r="F59" s="138">
        <f>+D59*E59</f>
        <v>0</v>
      </c>
      <c r="G59" s="123"/>
    </row>
    <row r="60" spans="1:7">
      <c r="A60" s="136"/>
      <c r="B60" s="129"/>
      <c r="C60" s="137"/>
      <c r="D60" s="133"/>
      <c r="E60" s="134"/>
      <c r="F60" s="138"/>
      <c r="G60" s="135"/>
    </row>
    <row r="61" spans="1:7">
      <c r="A61" s="105">
        <v>10</v>
      </c>
      <c r="B61" s="215" t="s">
        <v>128</v>
      </c>
      <c r="C61" s="216"/>
      <c r="D61" s="216"/>
      <c r="E61" s="216"/>
      <c r="F61" s="217"/>
      <c r="G61" s="106">
        <f>SUM(F63:F64)</f>
        <v>0</v>
      </c>
    </row>
    <row r="62" spans="1:7">
      <c r="A62" s="128"/>
      <c r="B62" s="124"/>
      <c r="C62" s="113"/>
      <c r="D62" s="114"/>
      <c r="E62" s="115"/>
      <c r="F62" s="115"/>
      <c r="G62" s="123"/>
    </row>
    <row r="63" spans="1:7" ht="69">
      <c r="A63" s="128" t="s">
        <v>87</v>
      </c>
      <c r="B63" s="129" t="s">
        <v>79</v>
      </c>
      <c r="C63" s="140" t="s">
        <v>73</v>
      </c>
      <c r="D63" s="114">
        <v>1</v>
      </c>
      <c r="E63" s="115"/>
      <c r="F63" s="115">
        <f>+D63*E63</f>
        <v>0</v>
      </c>
      <c r="G63" s="123"/>
    </row>
    <row r="64" spans="1:7" ht="55.2">
      <c r="A64" s="128" t="s">
        <v>99</v>
      </c>
      <c r="B64" s="132" t="s">
        <v>67</v>
      </c>
      <c r="C64" s="113" t="s">
        <v>34</v>
      </c>
      <c r="D64" s="114">
        <f>1.8*0.6</f>
        <v>1.08</v>
      </c>
      <c r="E64" s="115"/>
      <c r="F64" s="115">
        <f>+D64*E64</f>
        <v>0</v>
      </c>
      <c r="G64" s="123"/>
    </row>
    <row r="65" spans="1:7">
      <c r="A65" s="128"/>
      <c r="B65" s="129"/>
      <c r="C65" s="113"/>
      <c r="D65" s="114"/>
      <c r="E65" s="115"/>
      <c r="F65" s="115"/>
      <c r="G65" s="123"/>
    </row>
    <row r="66" spans="1:7">
      <c r="A66" s="105">
        <v>11</v>
      </c>
      <c r="B66" s="215" t="s">
        <v>129</v>
      </c>
      <c r="C66" s="216"/>
      <c r="D66" s="216"/>
      <c r="E66" s="216"/>
      <c r="F66" s="217"/>
      <c r="G66" s="106">
        <f>SUM(F68:F70)</f>
        <v>0</v>
      </c>
    </row>
    <row r="67" spans="1:7">
      <c r="A67" s="128"/>
      <c r="B67" s="141"/>
      <c r="C67" s="140"/>
      <c r="D67" s="142"/>
      <c r="E67" s="143"/>
      <c r="F67" s="143"/>
      <c r="G67" s="144"/>
    </row>
    <row r="68" spans="1:7" ht="41.4">
      <c r="A68" s="136" t="s">
        <v>130</v>
      </c>
      <c r="B68" s="129" t="s">
        <v>96</v>
      </c>
      <c r="C68" s="140" t="s">
        <v>61</v>
      </c>
      <c r="D68" s="114">
        <v>1</v>
      </c>
      <c r="E68" s="115"/>
      <c r="F68" s="115">
        <f>+D68*E68</f>
        <v>0</v>
      </c>
      <c r="G68" s="123"/>
    </row>
    <row r="69" spans="1:7" ht="41.4">
      <c r="A69" s="136" t="s">
        <v>131</v>
      </c>
      <c r="B69" s="132" t="s">
        <v>132</v>
      </c>
      <c r="C69" s="113" t="s">
        <v>61</v>
      </c>
      <c r="D69" s="114">
        <v>1</v>
      </c>
      <c r="E69" s="134"/>
      <c r="F69" s="115">
        <f t="shared" ref="F69:F70" si="5">+D69*E69</f>
        <v>0</v>
      </c>
      <c r="G69" s="135"/>
    </row>
    <row r="70" spans="1:7" ht="41.4">
      <c r="A70" s="136" t="s">
        <v>133</v>
      </c>
      <c r="B70" s="132" t="s">
        <v>134</v>
      </c>
      <c r="C70" s="113" t="s">
        <v>61</v>
      </c>
      <c r="D70" s="114">
        <v>1</v>
      </c>
      <c r="E70" s="134"/>
      <c r="F70" s="115">
        <f t="shared" si="5"/>
        <v>0</v>
      </c>
      <c r="G70" s="135"/>
    </row>
    <row r="71" spans="1:7" ht="15" thickBot="1">
      <c r="A71" s="128"/>
      <c r="B71" s="150"/>
      <c r="C71" s="113"/>
      <c r="D71" s="151"/>
      <c r="E71" s="115"/>
      <c r="F71" s="115"/>
      <c r="G71" s="123"/>
    </row>
    <row r="72" spans="1:7">
      <c r="A72" s="147"/>
      <c r="B72" s="224"/>
      <c r="C72" s="225"/>
      <c r="D72" s="225"/>
      <c r="E72" s="225"/>
      <c r="F72" s="226"/>
      <c r="G72" s="227">
        <f>SUM(G10:G71)</f>
        <v>0</v>
      </c>
    </row>
    <row r="73" spans="1:7" ht="15" thickBot="1">
      <c r="A73" s="148"/>
      <c r="B73" s="229" t="s">
        <v>89</v>
      </c>
      <c r="C73" s="230"/>
      <c r="D73" s="230"/>
      <c r="E73" s="230"/>
      <c r="F73" s="231"/>
      <c r="G73" s="228"/>
    </row>
  </sheetData>
  <mergeCells count="23">
    <mergeCell ref="B72:F72"/>
    <mergeCell ref="G72:G73"/>
    <mergeCell ref="B73:F73"/>
    <mergeCell ref="F4:G4"/>
    <mergeCell ref="F5:G5"/>
    <mergeCell ref="F7:G7"/>
    <mergeCell ref="A9:G9"/>
    <mergeCell ref="B10:F10"/>
    <mergeCell ref="A7:A8"/>
    <mergeCell ref="B7:B8"/>
    <mergeCell ref="C7:C8"/>
    <mergeCell ref="D7:D8"/>
    <mergeCell ref="E7:E8"/>
    <mergeCell ref="B39:F39"/>
    <mergeCell ref="B48:F48"/>
    <mergeCell ref="B52:F52"/>
    <mergeCell ref="B56:F56"/>
    <mergeCell ref="B61:F61"/>
    <mergeCell ref="B66:F66"/>
    <mergeCell ref="B33:F33"/>
    <mergeCell ref="B15:F15"/>
    <mergeCell ref="B19:F19"/>
    <mergeCell ref="B28:F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N18" sqref="N18"/>
    </sheetView>
  </sheetViews>
  <sheetFormatPr defaultRowHeight="14.4"/>
  <cols>
    <col min="1" max="1" width="9" style="94" bestFit="1" customWidth="1"/>
    <col min="2" max="2" width="39.5546875" style="95" customWidth="1"/>
    <col min="3" max="3" width="4.5546875" style="95" customWidth="1"/>
    <col min="4" max="4" width="6.5546875" style="95" customWidth="1"/>
    <col min="5" max="5" width="11.44140625" style="96" customWidth="1"/>
    <col min="6" max="6" width="11.44140625" style="96" bestFit="1" customWidth="1"/>
    <col min="7" max="7" width="17" style="95" customWidth="1"/>
  </cols>
  <sheetData>
    <row r="1" spans="1:7" ht="8.1" customHeight="1"/>
    <row r="2" spans="1:7">
      <c r="A2" s="97" t="s">
        <v>10</v>
      </c>
      <c r="B2" s="97"/>
      <c r="C2" s="97"/>
      <c r="D2" s="97"/>
      <c r="E2" s="98"/>
      <c r="F2" s="99"/>
      <c r="G2" s="97"/>
    </row>
    <row r="3" spans="1:7">
      <c r="A3" s="100" t="s">
        <v>11</v>
      </c>
      <c r="B3" s="97" t="s">
        <v>90</v>
      </c>
      <c r="C3" s="100"/>
      <c r="E3" s="101"/>
      <c r="F3" s="101"/>
      <c r="G3" s="100"/>
    </row>
    <row r="4" spans="1:7">
      <c r="A4" s="100" t="s">
        <v>13</v>
      </c>
      <c r="B4" s="97"/>
      <c r="C4" s="100"/>
      <c r="D4" s="100"/>
      <c r="E4" s="98"/>
      <c r="F4" s="206"/>
      <c r="G4" s="206"/>
    </row>
    <row r="5" spans="1:7">
      <c r="A5" s="100" t="s">
        <v>14</v>
      </c>
      <c r="B5" s="97" t="s">
        <v>135</v>
      </c>
      <c r="C5" s="100"/>
      <c r="D5" s="100"/>
      <c r="E5" s="98"/>
      <c r="F5" s="206" t="s">
        <v>16</v>
      </c>
      <c r="G5" s="206"/>
    </row>
    <row r="6" spans="1:7" ht="15" thickBot="1">
      <c r="A6" s="100"/>
      <c r="B6" s="97"/>
      <c r="C6" s="100"/>
      <c r="D6" s="100"/>
      <c r="E6" s="102"/>
      <c r="F6" s="102"/>
      <c r="G6" s="100"/>
    </row>
    <row r="7" spans="1:7" ht="15" thickBot="1">
      <c r="A7" s="218" t="s">
        <v>17</v>
      </c>
      <c r="B7" s="218" t="s">
        <v>18</v>
      </c>
      <c r="C7" s="218" t="s">
        <v>19</v>
      </c>
      <c r="D7" s="220" t="s">
        <v>20</v>
      </c>
      <c r="E7" s="222" t="s">
        <v>21</v>
      </c>
      <c r="F7" s="207" t="s">
        <v>22</v>
      </c>
      <c r="G7" s="208"/>
    </row>
    <row r="8" spans="1:7" ht="15" thickBot="1">
      <c r="A8" s="219"/>
      <c r="B8" s="219" t="s">
        <v>23</v>
      </c>
      <c r="C8" s="219" t="s">
        <v>24</v>
      </c>
      <c r="D8" s="221" t="s">
        <v>25</v>
      </c>
      <c r="E8" s="223"/>
      <c r="F8" s="103" t="s">
        <v>26</v>
      </c>
      <c r="G8" s="104" t="s">
        <v>27</v>
      </c>
    </row>
    <row r="9" spans="1:7" ht="12" customHeight="1">
      <c r="A9" s="212"/>
      <c r="B9" s="213"/>
      <c r="C9" s="213"/>
      <c r="D9" s="213"/>
      <c r="E9" s="213"/>
      <c r="F9" s="213"/>
      <c r="G9" s="214"/>
    </row>
    <row r="10" spans="1:7">
      <c r="A10" s="105">
        <v>1</v>
      </c>
      <c r="B10" s="215" t="s">
        <v>28</v>
      </c>
      <c r="C10" s="216"/>
      <c r="D10" s="216"/>
      <c r="E10" s="216"/>
      <c r="F10" s="217"/>
      <c r="G10" s="106">
        <f>+SUM(F12:F12)</f>
        <v>0</v>
      </c>
    </row>
    <row r="11" spans="1:7" ht="6.9" customHeight="1">
      <c r="A11" s="107"/>
      <c r="B11" s="108"/>
      <c r="C11" s="108"/>
      <c r="D11" s="108"/>
      <c r="E11" s="109"/>
      <c r="F11" s="109"/>
      <c r="G11" s="110"/>
    </row>
    <row r="12" spans="1:7" ht="55.2">
      <c r="A12" s="111" t="s">
        <v>29</v>
      </c>
      <c r="B12" s="112" t="s">
        <v>33</v>
      </c>
      <c r="C12" s="113" t="s">
        <v>34</v>
      </c>
      <c r="D12" s="114">
        <f>12.1+4.3</f>
        <v>16.399999999999999</v>
      </c>
      <c r="E12" s="115"/>
      <c r="F12" s="115">
        <f>D12*E12</f>
        <v>0</v>
      </c>
      <c r="G12" s="116"/>
    </row>
    <row r="13" spans="1:7" ht="6.9" customHeight="1">
      <c r="A13" s="117"/>
      <c r="B13" s="118"/>
      <c r="C13" s="118"/>
      <c r="D13" s="118"/>
      <c r="E13" s="119"/>
      <c r="F13" s="115"/>
      <c r="G13" s="120"/>
    </row>
    <row r="14" spans="1:7">
      <c r="A14" s="105">
        <v>2</v>
      </c>
      <c r="B14" s="215" t="s">
        <v>37</v>
      </c>
      <c r="C14" s="216"/>
      <c r="D14" s="216"/>
      <c r="E14" s="216"/>
      <c r="F14" s="217"/>
      <c r="G14" s="106">
        <f>SUM(F17:F18)</f>
        <v>0</v>
      </c>
    </row>
    <row r="15" spans="1:7">
      <c r="A15" s="107"/>
      <c r="B15" s="108"/>
      <c r="C15" s="108"/>
      <c r="D15" s="108"/>
      <c r="E15" s="109"/>
      <c r="F15" s="109"/>
      <c r="G15" s="110"/>
    </row>
    <row r="16" spans="1:7" ht="96.6">
      <c r="A16" s="111" t="s">
        <v>38</v>
      </c>
      <c r="B16" s="121" t="s">
        <v>39</v>
      </c>
      <c r="C16" s="122"/>
      <c r="D16" s="114"/>
      <c r="E16" s="115"/>
      <c r="F16" s="115"/>
      <c r="G16" s="123"/>
    </row>
    <row r="17" spans="1:7" ht="16.8">
      <c r="A17" s="111" t="s">
        <v>40</v>
      </c>
      <c r="B17" s="121" t="s">
        <v>41</v>
      </c>
      <c r="C17" s="113" t="s">
        <v>31</v>
      </c>
      <c r="D17" s="115">
        <f>0.2*0.4*7+0.2*0.4*3.6+0.2*0.4*2.64</f>
        <v>1.0592000000000001</v>
      </c>
      <c r="E17" s="115"/>
      <c r="F17" s="115">
        <f t="shared" ref="F17:F18" si="0">D17*E17</f>
        <v>0</v>
      </c>
      <c r="G17" s="123"/>
    </row>
    <row r="18" spans="1:7" ht="16.8">
      <c r="A18" s="111" t="s">
        <v>42</v>
      </c>
      <c r="B18" s="121" t="s">
        <v>43</v>
      </c>
      <c r="C18" s="113" t="s">
        <v>31</v>
      </c>
      <c r="D18" s="114">
        <f>14.49*0.15</f>
        <v>2.1734999999999998</v>
      </c>
      <c r="E18" s="115"/>
      <c r="F18" s="115">
        <f t="shared" si="0"/>
        <v>0</v>
      </c>
      <c r="G18" s="123"/>
    </row>
    <row r="19" spans="1:7" ht="6.9" customHeight="1">
      <c r="A19" s="117"/>
      <c r="B19" s="125"/>
      <c r="C19" s="125"/>
      <c r="D19" s="125"/>
      <c r="E19" s="126"/>
      <c r="F19" s="126"/>
      <c r="G19" s="127"/>
    </row>
    <row r="20" spans="1:7">
      <c r="A20" s="105">
        <v>3</v>
      </c>
      <c r="B20" s="215" t="s">
        <v>136</v>
      </c>
      <c r="C20" s="216"/>
      <c r="D20" s="216"/>
      <c r="E20" s="216"/>
      <c r="F20" s="217"/>
      <c r="G20" s="106">
        <f>SUM(F22:F24)</f>
        <v>0</v>
      </c>
    </row>
    <row r="21" spans="1:7">
      <c r="A21" s="128"/>
      <c r="B21" s="124"/>
      <c r="C21" s="113"/>
      <c r="D21" s="114"/>
      <c r="E21" s="115"/>
      <c r="F21" s="115"/>
      <c r="G21" s="123"/>
    </row>
    <row r="22" spans="1:7" ht="82.8">
      <c r="A22" s="128" t="s">
        <v>45</v>
      </c>
      <c r="B22" s="124" t="s">
        <v>49</v>
      </c>
      <c r="C22" s="113" t="s">
        <v>34</v>
      </c>
      <c r="D22" s="114">
        <f>20.1*2.93</f>
        <v>58.893000000000008</v>
      </c>
      <c r="E22" s="115"/>
      <c r="F22" s="115">
        <f>+D22*E22</f>
        <v>0</v>
      </c>
      <c r="G22" s="123"/>
    </row>
    <row r="23" spans="1:7" ht="27.6">
      <c r="A23" s="128" t="s">
        <v>106</v>
      </c>
      <c r="B23" s="129" t="s">
        <v>51</v>
      </c>
      <c r="C23" s="113" t="s">
        <v>34</v>
      </c>
      <c r="D23" s="114">
        <f>20.1*2.93</f>
        <v>58.893000000000008</v>
      </c>
      <c r="E23" s="115"/>
      <c r="F23" s="115">
        <f>+D23*E23</f>
        <v>0</v>
      </c>
      <c r="G23" s="123"/>
    </row>
    <row r="24" spans="1:7" ht="27.6">
      <c r="A24" s="128" t="s">
        <v>137</v>
      </c>
      <c r="B24" s="129" t="s">
        <v>53</v>
      </c>
      <c r="C24" s="113" t="s">
        <v>34</v>
      </c>
      <c r="D24" s="114">
        <v>14.49</v>
      </c>
      <c r="E24" s="115"/>
      <c r="F24" s="115">
        <f>+D24*E24</f>
        <v>0</v>
      </c>
      <c r="G24" s="123"/>
    </row>
    <row r="25" spans="1:7">
      <c r="A25" s="128"/>
      <c r="B25" s="124"/>
      <c r="C25" s="113"/>
      <c r="D25" s="114"/>
      <c r="E25" s="115"/>
      <c r="F25" s="115"/>
      <c r="G25" s="123"/>
    </row>
    <row r="26" spans="1:7">
      <c r="A26" s="105">
        <v>4</v>
      </c>
      <c r="B26" s="215" t="s">
        <v>138</v>
      </c>
      <c r="C26" s="216"/>
      <c r="D26" s="216"/>
      <c r="E26" s="216"/>
      <c r="F26" s="217"/>
      <c r="G26" s="106">
        <f>+SUM(F29:F32)</f>
        <v>0</v>
      </c>
    </row>
    <row r="27" spans="1:7" ht="6.9" customHeight="1">
      <c r="A27" s="128"/>
      <c r="B27" s="124"/>
      <c r="C27" s="130"/>
      <c r="D27" s="114"/>
      <c r="E27" s="115"/>
      <c r="F27" s="115"/>
      <c r="G27" s="123"/>
    </row>
    <row r="28" spans="1:7">
      <c r="A28" s="128" t="s">
        <v>48</v>
      </c>
      <c r="B28" s="131" t="s">
        <v>58</v>
      </c>
      <c r="C28" s="130"/>
      <c r="D28" s="114"/>
      <c r="E28" s="115"/>
      <c r="F28" s="115"/>
      <c r="G28" s="123"/>
    </row>
    <row r="29" spans="1:7" ht="69">
      <c r="A29" s="128" t="s">
        <v>48</v>
      </c>
      <c r="B29" s="124" t="s">
        <v>60</v>
      </c>
      <c r="C29" s="113" t="s">
        <v>61</v>
      </c>
      <c r="D29" s="114">
        <v>1</v>
      </c>
      <c r="E29" s="115"/>
      <c r="F29" s="115">
        <f>D29*E29</f>
        <v>0</v>
      </c>
      <c r="G29" s="123"/>
    </row>
    <row r="30" spans="1:7" ht="69">
      <c r="A30" s="128" t="s">
        <v>50</v>
      </c>
      <c r="B30" s="124" t="s">
        <v>63</v>
      </c>
      <c r="C30" s="113" t="s">
        <v>61</v>
      </c>
      <c r="D30" s="114">
        <v>1</v>
      </c>
      <c r="E30" s="115"/>
      <c r="F30" s="115">
        <f>D30*E30</f>
        <v>0</v>
      </c>
      <c r="G30" s="123"/>
    </row>
    <row r="31" spans="1:7" ht="55.2">
      <c r="A31" s="128" t="s">
        <v>52</v>
      </c>
      <c r="B31" s="132" t="s">
        <v>67</v>
      </c>
      <c r="C31" s="113" t="s">
        <v>34</v>
      </c>
      <c r="D31" s="114">
        <f>+(0.8+1.61)*2.1</f>
        <v>5.0610000000000008</v>
      </c>
      <c r="E31" s="134"/>
      <c r="F31" s="115">
        <f t="shared" ref="F31:F32" si="1">D31*E31</f>
        <v>0</v>
      </c>
      <c r="G31" s="135"/>
    </row>
    <row r="32" spans="1:7" ht="55.2">
      <c r="A32" s="128" t="s">
        <v>54</v>
      </c>
      <c r="B32" s="132" t="s">
        <v>69</v>
      </c>
      <c r="C32" s="113" t="s">
        <v>34</v>
      </c>
      <c r="D32" s="114">
        <v>3.29</v>
      </c>
      <c r="E32" s="134"/>
      <c r="F32" s="115">
        <f t="shared" si="1"/>
        <v>0</v>
      </c>
      <c r="G32" s="135"/>
    </row>
    <row r="33" spans="1:7">
      <c r="A33" s="136"/>
      <c r="B33" s="129"/>
      <c r="C33" s="137"/>
      <c r="D33" s="133"/>
      <c r="E33" s="134"/>
      <c r="F33" s="138"/>
      <c r="G33" s="135"/>
    </row>
    <row r="34" spans="1:7">
      <c r="A34" s="105">
        <v>5</v>
      </c>
      <c r="B34" s="215" t="s">
        <v>139</v>
      </c>
      <c r="C34" s="216"/>
      <c r="D34" s="216"/>
      <c r="E34" s="216"/>
      <c r="F34" s="217"/>
      <c r="G34" s="106">
        <f>+SUM(F36)</f>
        <v>0</v>
      </c>
    </row>
    <row r="35" spans="1:7" ht="6.9" customHeight="1">
      <c r="A35" s="128"/>
      <c r="B35" s="124"/>
      <c r="C35" s="130"/>
      <c r="D35" s="114"/>
      <c r="E35" s="115"/>
      <c r="F35" s="115"/>
      <c r="G35" s="123"/>
    </row>
    <row r="36" spans="1:7" ht="55.2">
      <c r="A36" s="128" t="s">
        <v>57</v>
      </c>
      <c r="B36" s="124" t="s">
        <v>72</v>
      </c>
      <c r="C36" s="113" t="s">
        <v>73</v>
      </c>
      <c r="D36" s="114">
        <v>1</v>
      </c>
      <c r="E36" s="115"/>
      <c r="F36" s="115">
        <f t="shared" ref="F36" si="2">D36*E36</f>
        <v>0</v>
      </c>
      <c r="G36" s="123"/>
    </row>
    <row r="37" spans="1:7">
      <c r="A37" s="128"/>
      <c r="B37" s="124"/>
      <c r="C37" s="113"/>
      <c r="D37" s="114"/>
      <c r="E37" s="115"/>
      <c r="F37" s="115"/>
      <c r="G37" s="123"/>
    </row>
    <row r="38" spans="1:7">
      <c r="A38" s="105">
        <v>6</v>
      </c>
      <c r="B38" s="215" t="s">
        <v>140</v>
      </c>
      <c r="C38" s="216"/>
      <c r="D38" s="216"/>
      <c r="E38" s="216"/>
      <c r="F38" s="217"/>
      <c r="G38" s="106"/>
    </row>
    <row r="39" spans="1:7">
      <c r="A39" s="136"/>
      <c r="B39" s="129"/>
      <c r="C39" s="139"/>
      <c r="D39" s="133"/>
      <c r="E39" s="134"/>
      <c r="F39" s="138"/>
      <c r="G39" s="135"/>
    </row>
    <row r="40" spans="1:7" ht="57">
      <c r="A40" s="136" t="s">
        <v>71</v>
      </c>
      <c r="B40" s="124" t="s">
        <v>141</v>
      </c>
      <c r="C40" s="139" t="s">
        <v>73</v>
      </c>
      <c r="D40" s="133">
        <v>1</v>
      </c>
      <c r="E40" s="134"/>
      <c r="F40" s="138">
        <f t="shared" ref="F40:F41" si="3">+D40*E40</f>
        <v>0</v>
      </c>
      <c r="G40" s="135"/>
    </row>
    <row r="41" spans="1:7" ht="57">
      <c r="A41" s="136" t="s">
        <v>142</v>
      </c>
      <c r="B41" s="124" t="s">
        <v>143</v>
      </c>
      <c r="C41" s="139" t="s">
        <v>73</v>
      </c>
      <c r="D41" s="133">
        <v>1</v>
      </c>
      <c r="E41" s="134"/>
      <c r="F41" s="138">
        <f t="shared" si="3"/>
        <v>0</v>
      </c>
      <c r="G41" s="135"/>
    </row>
    <row r="42" spans="1:7" ht="57">
      <c r="A42" s="136" t="s">
        <v>144</v>
      </c>
      <c r="B42" s="124" t="s">
        <v>145</v>
      </c>
      <c r="C42" s="139" t="s">
        <v>73</v>
      </c>
      <c r="D42" s="133">
        <v>1</v>
      </c>
      <c r="E42" s="134"/>
      <c r="F42" s="138">
        <f>+D42*E42</f>
        <v>0</v>
      </c>
      <c r="G42" s="135"/>
    </row>
    <row r="43" spans="1:7">
      <c r="A43" s="128"/>
      <c r="B43" s="124"/>
      <c r="C43" s="113"/>
      <c r="D43" s="114"/>
      <c r="E43" s="115"/>
      <c r="F43" s="115"/>
      <c r="G43" s="123"/>
    </row>
    <row r="44" spans="1:7">
      <c r="A44" s="105">
        <v>7</v>
      </c>
      <c r="B44" s="215" t="s">
        <v>146</v>
      </c>
      <c r="C44" s="216"/>
      <c r="D44" s="216"/>
      <c r="E44" s="216"/>
      <c r="F44" s="217"/>
      <c r="G44" s="106">
        <f>SUM(F46:F47)</f>
        <v>0</v>
      </c>
    </row>
    <row r="45" spans="1:7">
      <c r="A45" s="128"/>
      <c r="B45" s="124"/>
      <c r="C45" s="113"/>
      <c r="D45" s="114"/>
      <c r="E45" s="115"/>
      <c r="F45" s="115"/>
      <c r="G45" s="123"/>
    </row>
    <row r="46" spans="1:7" ht="69">
      <c r="A46" s="128" t="s">
        <v>75</v>
      </c>
      <c r="B46" s="129" t="s">
        <v>79</v>
      </c>
      <c r="C46" s="140" t="s">
        <v>73</v>
      </c>
      <c r="D46" s="114">
        <v>1</v>
      </c>
      <c r="E46" s="115"/>
      <c r="F46" s="115">
        <f>+D46*E46</f>
        <v>0</v>
      </c>
      <c r="G46" s="123"/>
    </row>
    <row r="47" spans="1:7" ht="55.2">
      <c r="A47" s="128" t="s">
        <v>147</v>
      </c>
      <c r="B47" s="132" t="s">
        <v>67</v>
      </c>
      <c r="C47" s="113" t="s">
        <v>34</v>
      </c>
      <c r="D47" s="114">
        <f>1.58*0.6</f>
        <v>0.94799999999999995</v>
      </c>
      <c r="E47" s="115"/>
      <c r="F47" s="115">
        <f>+D47*E47</f>
        <v>0</v>
      </c>
      <c r="G47" s="123"/>
    </row>
    <row r="48" spans="1:7" ht="15" thickBot="1">
      <c r="A48" s="128"/>
      <c r="B48" s="132"/>
      <c r="C48" s="113"/>
      <c r="D48" s="114"/>
      <c r="E48" s="115"/>
      <c r="F48" s="115"/>
      <c r="G48" s="123"/>
    </row>
    <row r="49" spans="1:7">
      <c r="A49" s="147"/>
      <c r="B49" s="224"/>
      <c r="C49" s="225"/>
      <c r="D49" s="225"/>
      <c r="E49" s="225"/>
      <c r="F49" s="226"/>
      <c r="G49" s="227">
        <f>SUM(G10:G48)</f>
        <v>0</v>
      </c>
    </row>
    <row r="50" spans="1:7" ht="15" thickBot="1">
      <c r="A50" s="148"/>
      <c r="B50" s="229" t="s">
        <v>89</v>
      </c>
      <c r="C50" s="230"/>
      <c r="D50" s="230"/>
      <c r="E50" s="230"/>
      <c r="F50" s="231"/>
      <c r="G50" s="228"/>
    </row>
  </sheetData>
  <mergeCells count="19">
    <mergeCell ref="B14:F14"/>
    <mergeCell ref="B20:F20"/>
    <mergeCell ref="B26:F26"/>
    <mergeCell ref="F4:G4"/>
    <mergeCell ref="F5:G5"/>
    <mergeCell ref="F7:G7"/>
    <mergeCell ref="A9:G9"/>
    <mergeCell ref="B10:F10"/>
    <mergeCell ref="A7:A8"/>
    <mergeCell ref="B7:B8"/>
    <mergeCell ref="C7:C8"/>
    <mergeCell ref="D7:D8"/>
    <mergeCell ref="E7:E8"/>
    <mergeCell ref="B34:F34"/>
    <mergeCell ref="B38:F38"/>
    <mergeCell ref="B44:F44"/>
    <mergeCell ref="B49:F49"/>
    <mergeCell ref="G49:G50"/>
    <mergeCell ref="B50:F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E28" sqref="E28"/>
    </sheetView>
  </sheetViews>
  <sheetFormatPr defaultRowHeight="14.4"/>
  <cols>
    <col min="1" max="1" width="9.6640625" style="94" customWidth="1"/>
    <col min="2" max="2" width="39.5546875" style="95" customWidth="1"/>
    <col min="3" max="3" width="4.5546875" style="95" customWidth="1"/>
    <col min="4" max="4" width="6.5546875" style="95" customWidth="1"/>
    <col min="5" max="5" width="11.44140625" style="96" customWidth="1"/>
    <col min="6" max="6" width="12.5546875" style="96" customWidth="1"/>
    <col min="7" max="7" width="13.44140625" style="95" customWidth="1"/>
  </cols>
  <sheetData>
    <row r="1" spans="1:7" ht="8.1" customHeight="1"/>
    <row r="2" spans="1:7">
      <c r="A2" s="97" t="s">
        <v>10</v>
      </c>
      <c r="B2" s="97"/>
      <c r="C2" s="97"/>
      <c r="D2" s="97"/>
      <c r="E2" s="98"/>
      <c r="F2" s="99"/>
      <c r="G2" s="97"/>
    </row>
    <row r="3" spans="1:7">
      <c r="A3" s="100" t="s">
        <v>11</v>
      </c>
      <c r="B3" s="97" t="s">
        <v>90</v>
      </c>
      <c r="C3" s="100"/>
      <c r="E3" s="101"/>
      <c r="F3" s="101"/>
      <c r="G3" s="100"/>
    </row>
    <row r="4" spans="1:7">
      <c r="A4" s="100" t="s">
        <v>13</v>
      </c>
      <c r="B4" s="97"/>
      <c r="C4" s="100"/>
      <c r="D4" s="100"/>
      <c r="E4" s="98"/>
      <c r="F4" s="206"/>
      <c r="G4" s="206"/>
    </row>
    <row r="5" spans="1:7">
      <c r="A5" s="100" t="s">
        <v>14</v>
      </c>
      <c r="B5" s="97" t="s">
        <v>148</v>
      </c>
      <c r="C5" s="100"/>
      <c r="D5" s="100"/>
      <c r="E5" s="98"/>
      <c r="F5" s="206" t="s">
        <v>16</v>
      </c>
      <c r="G5" s="206"/>
    </row>
    <row r="6" spans="1:7" ht="15" thickBot="1">
      <c r="A6" s="100"/>
      <c r="B6" s="97"/>
      <c r="C6" s="100"/>
      <c r="D6" s="100"/>
      <c r="E6" s="102"/>
      <c r="F6" s="102"/>
      <c r="G6" s="100"/>
    </row>
    <row r="7" spans="1:7" ht="15" thickBot="1">
      <c r="A7" s="218" t="s">
        <v>17</v>
      </c>
      <c r="B7" s="218" t="s">
        <v>18</v>
      </c>
      <c r="C7" s="218" t="s">
        <v>19</v>
      </c>
      <c r="D7" s="220" t="s">
        <v>20</v>
      </c>
      <c r="E7" s="222" t="s">
        <v>21</v>
      </c>
      <c r="F7" s="207" t="s">
        <v>22</v>
      </c>
      <c r="G7" s="208"/>
    </row>
    <row r="8" spans="1:7" ht="15" thickBot="1">
      <c r="A8" s="219"/>
      <c r="B8" s="219" t="s">
        <v>23</v>
      </c>
      <c r="C8" s="219" t="s">
        <v>24</v>
      </c>
      <c r="D8" s="221" t="s">
        <v>25</v>
      </c>
      <c r="E8" s="223"/>
      <c r="F8" s="103" t="s">
        <v>26</v>
      </c>
      <c r="G8" s="104" t="s">
        <v>27</v>
      </c>
    </row>
    <row r="9" spans="1:7" ht="12" customHeight="1">
      <c r="A9" s="212"/>
      <c r="B9" s="213"/>
      <c r="C9" s="213"/>
      <c r="D9" s="213"/>
      <c r="E9" s="213"/>
      <c r="F9" s="213"/>
      <c r="G9" s="214"/>
    </row>
    <row r="10" spans="1:7">
      <c r="A10" s="105">
        <v>1</v>
      </c>
      <c r="B10" s="215" t="s">
        <v>28</v>
      </c>
      <c r="C10" s="216"/>
      <c r="D10" s="216"/>
      <c r="E10" s="216"/>
      <c r="F10" s="217"/>
      <c r="G10" s="106">
        <f>+SUM(F12:F12)</f>
        <v>0</v>
      </c>
    </row>
    <row r="11" spans="1:7" ht="6.9" customHeight="1">
      <c r="A11" s="107"/>
      <c r="B11" s="108"/>
      <c r="C11" s="108"/>
      <c r="D11" s="108"/>
      <c r="E11" s="109"/>
      <c r="F11" s="109"/>
      <c r="G11" s="110"/>
    </row>
    <row r="12" spans="1:7" ht="55.2">
      <c r="A12" s="111" t="s">
        <v>29</v>
      </c>
      <c r="B12" s="112" t="s">
        <v>33</v>
      </c>
      <c r="C12" s="113" t="s">
        <v>34</v>
      </c>
      <c r="D12" s="114">
        <f>78.1*0.15</f>
        <v>11.714999999999998</v>
      </c>
      <c r="E12" s="115"/>
      <c r="F12" s="115">
        <f>D12*E12</f>
        <v>0</v>
      </c>
      <c r="G12" s="116"/>
    </row>
    <row r="13" spans="1:7" ht="6.9" customHeight="1">
      <c r="A13" s="117"/>
      <c r="B13" s="118"/>
      <c r="C13" s="118"/>
      <c r="D13" s="118"/>
      <c r="E13" s="119"/>
      <c r="F13" s="115"/>
      <c r="G13" s="120"/>
    </row>
    <row r="14" spans="1:7">
      <c r="A14" s="105">
        <v>2</v>
      </c>
      <c r="B14" s="215" t="s">
        <v>37</v>
      </c>
      <c r="C14" s="216"/>
      <c r="D14" s="216"/>
      <c r="E14" s="216"/>
      <c r="F14" s="217"/>
      <c r="G14" s="106">
        <f>SUM(F17:F18)</f>
        <v>0</v>
      </c>
    </row>
    <row r="15" spans="1:7">
      <c r="A15" s="107"/>
      <c r="B15" s="108"/>
      <c r="C15" s="108"/>
      <c r="D15" s="108"/>
      <c r="E15" s="109"/>
      <c r="F15" s="109"/>
      <c r="G15" s="110"/>
    </row>
    <row r="16" spans="1:7" ht="96.6">
      <c r="A16" s="111" t="s">
        <v>38</v>
      </c>
      <c r="B16" s="121" t="s">
        <v>39</v>
      </c>
      <c r="C16" s="122"/>
      <c r="D16" s="114"/>
      <c r="E16" s="115"/>
      <c r="F16" s="115"/>
      <c r="G16" s="123"/>
    </row>
    <row r="17" spans="1:7" ht="16.8">
      <c r="A17" s="111" t="s">
        <v>40</v>
      </c>
      <c r="B17" s="121" t="s">
        <v>41</v>
      </c>
      <c r="C17" s="113" t="s">
        <v>31</v>
      </c>
      <c r="D17" s="115">
        <f>41.35*0.2*0.4</f>
        <v>3.3080000000000007</v>
      </c>
      <c r="E17" s="115"/>
      <c r="F17" s="115">
        <f t="shared" ref="F17:F18" si="0">D17*E17</f>
        <v>0</v>
      </c>
      <c r="G17" s="123"/>
    </row>
    <row r="18" spans="1:7" ht="16.8">
      <c r="A18" s="111" t="s">
        <v>42</v>
      </c>
      <c r="B18" s="121" t="s">
        <v>43</v>
      </c>
      <c r="C18" s="113" t="s">
        <v>31</v>
      </c>
      <c r="D18" s="114">
        <f>50.91*0.15</f>
        <v>7.636499999999999</v>
      </c>
      <c r="E18" s="115"/>
      <c r="F18" s="115">
        <f t="shared" si="0"/>
        <v>0</v>
      </c>
      <c r="G18" s="123"/>
    </row>
    <row r="19" spans="1:7">
      <c r="A19" s="111"/>
      <c r="B19" s="121"/>
      <c r="C19" s="113"/>
      <c r="D19" s="114"/>
      <c r="E19" s="115"/>
      <c r="F19" s="115"/>
      <c r="G19" s="123"/>
    </row>
    <row r="20" spans="1:7">
      <c r="A20" s="105">
        <v>3</v>
      </c>
      <c r="B20" s="215" t="s">
        <v>44</v>
      </c>
      <c r="C20" s="216"/>
      <c r="D20" s="216"/>
      <c r="E20" s="216"/>
      <c r="F20" s="217"/>
      <c r="G20" s="106">
        <f>+SUM(F22)</f>
        <v>0</v>
      </c>
    </row>
    <row r="21" spans="1:7">
      <c r="A21" s="111"/>
      <c r="B21" s="121"/>
      <c r="C21" s="113"/>
      <c r="D21" s="114"/>
      <c r="E21" s="115"/>
      <c r="F21" s="115"/>
      <c r="G21" s="123"/>
    </row>
    <row r="22" spans="1:7" ht="85.2">
      <c r="A22" s="111" t="s">
        <v>45</v>
      </c>
      <c r="B22" s="124" t="s">
        <v>46</v>
      </c>
      <c r="C22" s="113" t="s">
        <v>34</v>
      </c>
      <c r="D22" s="114">
        <v>6</v>
      </c>
      <c r="E22" s="115"/>
      <c r="F22" s="115">
        <f t="shared" ref="F22" si="1">D22*E22</f>
        <v>0</v>
      </c>
      <c r="G22" s="123"/>
    </row>
    <row r="23" spans="1:7" ht="6.9" customHeight="1">
      <c r="A23" s="117"/>
      <c r="B23" s="125"/>
      <c r="C23" s="125"/>
      <c r="D23" s="125"/>
      <c r="E23" s="126"/>
      <c r="F23" s="126"/>
      <c r="G23" s="127"/>
    </row>
    <row r="24" spans="1:7">
      <c r="A24" s="105">
        <v>4</v>
      </c>
      <c r="B24" s="215" t="s">
        <v>47</v>
      </c>
      <c r="C24" s="216"/>
      <c r="D24" s="216"/>
      <c r="E24" s="216"/>
      <c r="F24" s="217"/>
      <c r="G24" s="106">
        <f>SUM(F26:F28)</f>
        <v>0</v>
      </c>
    </row>
    <row r="25" spans="1:7">
      <c r="A25" s="128"/>
      <c r="B25" s="124"/>
      <c r="C25" s="113"/>
      <c r="D25" s="114"/>
      <c r="E25" s="115"/>
      <c r="F25" s="115"/>
      <c r="G25" s="123"/>
    </row>
    <row r="26" spans="1:7" ht="82.8">
      <c r="A26" s="128" t="s">
        <v>48</v>
      </c>
      <c r="B26" s="124" t="s">
        <v>49</v>
      </c>
      <c r="C26" s="113" t="s">
        <v>34</v>
      </c>
      <c r="D26" s="114">
        <f>38.7*2.74</f>
        <v>106.03800000000001</v>
      </c>
      <c r="E26" s="115"/>
      <c r="F26" s="115">
        <f>+D26*E26</f>
        <v>0</v>
      </c>
      <c r="G26" s="123"/>
    </row>
    <row r="27" spans="1:7" ht="27.6">
      <c r="A27" s="128" t="s">
        <v>50</v>
      </c>
      <c r="B27" s="129" t="s">
        <v>51</v>
      </c>
      <c r="C27" s="113" t="s">
        <v>34</v>
      </c>
      <c r="D27" s="114">
        <f>33.1*2.74+D26</f>
        <v>196.73200000000003</v>
      </c>
      <c r="E27" s="115"/>
      <c r="F27" s="115">
        <f>+D27*E27</f>
        <v>0</v>
      </c>
      <c r="G27" s="123"/>
    </row>
    <row r="28" spans="1:7" ht="27.6">
      <c r="A28" s="128" t="s">
        <v>52</v>
      </c>
      <c r="B28" s="129" t="s">
        <v>53</v>
      </c>
      <c r="C28" s="113" t="s">
        <v>34</v>
      </c>
      <c r="D28" s="114">
        <v>50.91</v>
      </c>
      <c r="E28" s="115"/>
      <c r="F28" s="115">
        <f>+D28*E28</f>
        <v>0</v>
      </c>
      <c r="G28" s="123"/>
    </row>
    <row r="29" spans="1:7">
      <c r="A29" s="128"/>
      <c r="B29" s="124"/>
      <c r="C29" s="113"/>
      <c r="D29" s="114"/>
      <c r="E29" s="115"/>
      <c r="F29" s="115"/>
      <c r="G29" s="123"/>
    </row>
    <row r="30" spans="1:7">
      <c r="A30" s="105">
        <v>5</v>
      </c>
      <c r="B30" s="215" t="s">
        <v>139</v>
      </c>
      <c r="C30" s="216"/>
      <c r="D30" s="216"/>
      <c r="E30" s="216"/>
      <c r="F30" s="217"/>
      <c r="G30" s="106">
        <f>+SUM(F32)</f>
        <v>0</v>
      </c>
    </row>
    <row r="31" spans="1:7" ht="6.9" customHeight="1">
      <c r="A31" s="136"/>
      <c r="B31" s="124"/>
      <c r="C31" s="130"/>
      <c r="D31" s="114"/>
      <c r="E31" s="115"/>
      <c r="F31" s="115"/>
      <c r="G31" s="123"/>
    </row>
    <row r="32" spans="1:7" ht="55.2">
      <c r="A32" s="136" t="s">
        <v>57</v>
      </c>
      <c r="B32" s="124" t="s">
        <v>72</v>
      </c>
      <c r="C32" s="113" t="s">
        <v>73</v>
      </c>
      <c r="D32" s="114">
        <v>1</v>
      </c>
      <c r="E32" s="115"/>
      <c r="F32" s="115">
        <f t="shared" ref="F32" si="2">D32*E32</f>
        <v>0</v>
      </c>
      <c r="G32" s="123"/>
    </row>
    <row r="33" spans="1:7">
      <c r="A33" s="128"/>
      <c r="B33" s="124"/>
      <c r="C33" s="113"/>
      <c r="D33" s="114"/>
      <c r="E33" s="115"/>
      <c r="F33" s="115"/>
      <c r="G33" s="123"/>
    </row>
    <row r="34" spans="1:7">
      <c r="A34" s="105">
        <v>6</v>
      </c>
      <c r="B34" s="215" t="s">
        <v>140</v>
      </c>
      <c r="C34" s="216"/>
      <c r="D34" s="216"/>
      <c r="E34" s="216"/>
      <c r="F34" s="217"/>
      <c r="G34" s="106">
        <f>SUM(F36:F36)</f>
        <v>0</v>
      </c>
    </row>
    <row r="35" spans="1:7">
      <c r="A35" s="136"/>
      <c r="B35" s="129"/>
      <c r="C35" s="139"/>
      <c r="D35" s="133"/>
      <c r="E35" s="134"/>
      <c r="F35" s="138"/>
      <c r="G35" s="135"/>
    </row>
    <row r="36" spans="1:7" ht="55.2">
      <c r="A36" s="136" t="s">
        <v>71</v>
      </c>
      <c r="B36" s="129" t="s">
        <v>76</v>
      </c>
      <c r="C36" s="139" t="s">
        <v>73</v>
      </c>
      <c r="D36" s="133">
        <v>1</v>
      </c>
      <c r="E36" s="134"/>
      <c r="F36" s="138">
        <f>+D36*E36</f>
        <v>0</v>
      </c>
      <c r="G36" s="135"/>
    </row>
    <row r="37" spans="1:7">
      <c r="A37" s="128"/>
      <c r="B37" s="124"/>
      <c r="C37" s="113"/>
      <c r="D37" s="114"/>
      <c r="E37" s="115"/>
      <c r="F37" s="115"/>
      <c r="G37" s="123"/>
    </row>
    <row r="38" spans="1:7">
      <c r="A38" s="105">
        <v>7</v>
      </c>
      <c r="B38" s="215" t="s">
        <v>149</v>
      </c>
      <c r="C38" s="216"/>
      <c r="D38" s="216"/>
      <c r="E38" s="216"/>
      <c r="F38" s="217"/>
      <c r="G38" s="106">
        <f>SUM(F40:F40)</f>
        <v>0</v>
      </c>
    </row>
    <row r="39" spans="1:7">
      <c r="A39" s="128"/>
      <c r="B39" s="129"/>
      <c r="C39" s="139"/>
      <c r="D39" s="133"/>
      <c r="E39" s="134"/>
      <c r="F39" s="138"/>
      <c r="G39" s="135"/>
    </row>
    <row r="40" spans="1:7" ht="69">
      <c r="A40" s="128" t="s">
        <v>75</v>
      </c>
      <c r="B40" s="129" t="s">
        <v>94</v>
      </c>
      <c r="C40" s="139" t="s">
        <v>73</v>
      </c>
      <c r="D40" s="133">
        <v>1</v>
      </c>
      <c r="E40" s="134"/>
      <c r="F40" s="138">
        <f>+D40*E40</f>
        <v>0</v>
      </c>
      <c r="G40" s="135"/>
    </row>
    <row r="41" spans="1:7">
      <c r="A41" s="128"/>
      <c r="B41" s="124"/>
      <c r="C41" s="113"/>
      <c r="D41" s="114"/>
      <c r="E41" s="115"/>
      <c r="F41" s="115"/>
      <c r="G41" s="123"/>
    </row>
    <row r="42" spans="1:7">
      <c r="A42" s="105">
        <v>8</v>
      </c>
      <c r="B42" s="215" t="s">
        <v>77</v>
      </c>
      <c r="C42" s="216"/>
      <c r="D42" s="216"/>
      <c r="E42" s="216"/>
      <c r="F42" s="217"/>
      <c r="G42" s="106">
        <f>SUM(F44:F45)</f>
        <v>0</v>
      </c>
    </row>
    <row r="43" spans="1:7">
      <c r="A43" s="128"/>
      <c r="B43" s="124"/>
      <c r="C43" s="113"/>
      <c r="D43" s="114"/>
      <c r="E43" s="115"/>
      <c r="F43" s="115"/>
      <c r="G43" s="123"/>
    </row>
    <row r="44" spans="1:7" ht="69">
      <c r="A44" s="136" t="s">
        <v>78</v>
      </c>
      <c r="B44" s="129" t="s">
        <v>79</v>
      </c>
      <c r="C44" s="140" t="s">
        <v>73</v>
      </c>
      <c r="D44" s="114">
        <v>1</v>
      </c>
      <c r="E44" s="115"/>
      <c r="F44" s="115">
        <f>+D44*E44</f>
        <v>0</v>
      </c>
      <c r="G44" s="123"/>
    </row>
    <row r="45" spans="1:7" ht="55.2">
      <c r="A45" s="136" t="s">
        <v>80</v>
      </c>
      <c r="B45" s="132" t="s">
        <v>67</v>
      </c>
      <c r="C45" s="113" t="s">
        <v>34</v>
      </c>
      <c r="D45" s="114">
        <f>1.8*0.6</f>
        <v>1.08</v>
      </c>
      <c r="E45" s="115"/>
      <c r="F45" s="115">
        <f>+D45*E45</f>
        <v>0</v>
      </c>
      <c r="G45" s="123"/>
    </row>
    <row r="46" spans="1:7">
      <c r="A46" s="128"/>
      <c r="B46" s="129"/>
      <c r="C46" s="113"/>
      <c r="D46" s="114"/>
      <c r="E46" s="115"/>
      <c r="F46" s="115"/>
      <c r="G46" s="123"/>
    </row>
    <row r="47" spans="1:7">
      <c r="A47" s="105">
        <v>9</v>
      </c>
      <c r="B47" s="215" t="s">
        <v>129</v>
      </c>
      <c r="C47" s="216"/>
      <c r="D47" s="216"/>
      <c r="E47" s="216"/>
      <c r="F47" s="217"/>
      <c r="G47" s="106">
        <f>SUM(F49:F50)</f>
        <v>0</v>
      </c>
    </row>
    <row r="48" spans="1:7">
      <c r="A48" s="128"/>
      <c r="B48" s="141"/>
      <c r="C48" s="140"/>
      <c r="D48" s="142"/>
      <c r="E48" s="143"/>
      <c r="F48" s="143"/>
      <c r="G48" s="144"/>
    </row>
    <row r="49" spans="1:7" ht="41.4">
      <c r="A49" s="136" t="s">
        <v>82</v>
      </c>
      <c r="B49" s="129" t="s">
        <v>150</v>
      </c>
      <c r="C49" s="140" t="s">
        <v>61</v>
      </c>
      <c r="D49" s="114">
        <v>2</v>
      </c>
      <c r="E49" s="115"/>
      <c r="F49" s="115">
        <f>+D49*E49</f>
        <v>0</v>
      </c>
      <c r="G49" s="123"/>
    </row>
    <row r="50" spans="1:7" ht="41.4">
      <c r="A50" s="136" t="s">
        <v>84</v>
      </c>
      <c r="B50" s="132" t="s">
        <v>151</v>
      </c>
      <c r="C50" s="113" t="s">
        <v>61</v>
      </c>
      <c r="D50" s="114">
        <v>2</v>
      </c>
      <c r="E50" s="134"/>
      <c r="F50" s="115">
        <f t="shared" ref="F50" si="3">+D50*E50</f>
        <v>0</v>
      </c>
      <c r="G50" s="135"/>
    </row>
    <row r="51" spans="1:7" ht="15" thickBot="1">
      <c r="A51" s="136"/>
      <c r="B51" s="129"/>
      <c r="C51" s="137"/>
      <c r="D51" s="133"/>
      <c r="E51" s="134"/>
      <c r="F51" s="138"/>
      <c r="G51" s="135"/>
    </row>
    <row r="52" spans="1:7">
      <c r="A52" s="147"/>
      <c r="B52" s="224"/>
      <c r="C52" s="225"/>
      <c r="D52" s="225"/>
      <c r="E52" s="225"/>
      <c r="F52" s="226"/>
      <c r="G52" s="227">
        <f>SUM(G10:G51)</f>
        <v>0</v>
      </c>
    </row>
    <row r="53" spans="1:7" ht="15" thickBot="1">
      <c r="A53" s="148"/>
      <c r="B53" s="229" t="s">
        <v>89</v>
      </c>
      <c r="C53" s="230"/>
      <c r="D53" s="230"/>
      <c r="E53" s="230"/>
      <c r="F53" s="231"/>
      <c r="G53" s="228"/>
    </row>
  </sheetData>
  <mergeCells count="21">
    <mergeCell ref="B47:F47"/>
    <mergeCell ref="B52:F52"/>
    <mergeCell ref="G52:G53"/>
    <mergeCell ref="B53:F53"/>
    <mergeCell ref="B30:F30"/>
    <mergeCell ref="B42:F42"/>
    <mergeCell ref="F4:G4"/>
    <mergeCell ref="F5:G5"/>
    <mergeCell ref="F7:G7"/>
    <mergeCell ref="A9:G9"/>
    <mergeCell ref="B10:F10"/>
    <mergeCell ref="A7:A8"/>
    <mergeCell ref="B7:B8"/>
    <mergeCell ref="C7:C8"/>
    <mergeCell ref="D7:D8"/>
    <mergeCell ref="E7:E8"/>
    <mergeCell ref="B14:F14"/>
    <mergeCell ref="B20:F20"/>
    <mergeCell ref="B24:F24"/>
    <mergeCell ref="B34:F34"/>
    <mergeCell ref="B38:F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selection activeCell="E57" sqref="E57"/>
    </sheetView>
  </sheetViews>
  <sheetFormatPr defaultRowHeight="14.4"/>
  <cols>
    <col min="1" max="1" width="7.109375" bestFit="1" customWidth="1"/>
    <col min="2" max="2" width="37.6640625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1.44140625" bestFit="1" customWidth="1"/>
    <col min="7" max="7" width="12.109375" customWidth="1"/>
    <col min="10" max="10" width="18.5546875" bestFit="1" customWidth="1"/>
  </cols>
  <sheetData>
    <row r="1" spans="1:7">
      <c r="A1" s="1" t="s">
        <v>11</v>
      </c>
      <c r="B1" s="237" t="s">
        <v>90</v>
      </c>
      <c r="C1" s="237"/>
      <c r="D1" s="237"/>
      <c r="E1" s="237"/>
      <c r="F1" s="2"/>
      <c r="G1" s="3"/>
    </row>
    <row r="2" spans="1:7">
      <c r="A2" s="1" t="s">
        <v>13</v>
      </c>
      <c r="B2" s="4"/>
      <c r="C2" s="3"/>
      <c r="D2" s="3"/>
      <c r="E2" s="5"/>
      <c r="F2" s="238"/>
      <c r="G2" s="238"/>
    </row>
    <row r="3" spans="1:7">
      <c r="A3" s="1" t="s">
        <v>14</v>
      </c>
      <c r="B3" s="237" t="s">
        <v>203</v>
      </c>
      <c r="C3" s="237"/>
      <c r="D3" s="237"/>
      <c r="E3" s="237"/>
      <c r="F3" s="238" t="s">
        <v>16</v>
      </c>
      <c r="G3" s="238"/>
    </row>
    <row r="4" spans="1:7" ht="15" thickBot="1">
      <c r="A4" s="3"/>
      <c r="B4" s="4"/>
      <c r="C4" s="3"/>
      <c r="D4" s="3"/>
      <c r="E4" s="6"/>
      <c r="F4" s="6"/>
      <c r="G4" s="3"/>
    </row>
    <row r="5" spans="1:7" ht="15" thickBot="1">
      <c r="A5" s="233" t="s">
        <v>17</v>
      </c>
      <c r="B5" s="233" t="s">
        <v>18</v>
      </c>
      <c r="C5" s="233" t="s">
        <v>19</v>
      </c>
      <c r="D5" s="239" t="s">
        <v>20</v>
      </c>
      <c r="E5" s="240" t="s">
        <v>21</v>
      </c>
      <c r="F5" s="233" t="s">
        <v>22</v>
      </c>
      <c r="G5" s="233"/>
    </row>
    <row r="6" spans="1:7" ht="15" thickBot="1">
      <c r="A6" s="233"/>
      <c r="B6" s="233" t="s">
        <v>23</v>
      </c>
      <c r="C6" s="233" t="s">
        <v>24</v>
      </c>
      <c r="D6" s="239" t="s">
        <v>25</v>
      </c>
      <c r="E6" s="240"/>
      <c r="F6" s="7" t="s">
        <v>26</v>
      </c>
      <c r="G6" s="8" t="s">
        <v>27</v>
      </c>
    </row>
    <row r="7" spans="1:7" ht="15" thickBot="1">
      <c r="A7" s="233"/>
      <c r="B7" s="233"/>
      <c r="C7" s="233"/>
      <c r="D7" s="233"/>
      <c r="E7" s="233"/>
      <c r="F7" s="233"/>
      <c r="G7" s="233"/>
    </row>
    <row r="8" spans="1:7" ht="15" thickBot="1">
      <c r="A8" s="72">
        <v>1</v>
      </c>
      <c r="B8" s="232" t="s">
        <v>28</v>
      </c>
      <c r="C8" s="232"/>
      <c r="D8" s="232"/>
      <c r="E8" s="232"/>
      <c r="F8" s="232"/>
      <c r="G8" s="73">
        <f>F10+F11</f>
        <v>0</v>
      </c>
    </row>
    <row r="9" spans="1:7">
      <c r="A9" s="9"/>
      <c r="B9" s="4"/>
      <c r="C9" s="4"/>
      <c r="D9" s="4"/>
      <c r="E9" s="10"/>
      <c r="F9" s="10"/>
      <c r="G9" s="11"/>
    </row>
    <row r="10" spans="1:7" ht="55.2">
      <c r="A10" s="74" t="s">
        <v>29</v>
      </c>
      <c r="B10" s="56" t="s">
        <v>164</v>
      </c>
      <c r="C10" s="34" t="s">
        <v>165</v>
      </c>
      <c r="D10" s="30">
        <f>(0.2*3*1)+(0.2*(0.88+3.35+2.92+3.77+3.35+2.92+2.83+3.86+3.86+3.86+3.86+1.88+1.88+2.77+2.77+3.43+3.43))</f>
        <v>10.924000000000001</v>
      </c>
      <c r="E10" s="31"/>
      <c r="F10" s="31">
        <f t="shared" ref="F10" si="0">D10*E10</f>
        <v>0</v>
      </c>
      <c r="G10" s="57"/>
    </row>
    <row r="11" spans="1:7" ht="55.2">
      <c r="A11" s="74" t="s">
        <v>32</v>
      </c>
      <c r="B11" s="56" t="s">
        <v>167</v>
      </c>
      <c r="C11" s="34" t="s">
        <v>168</v>
      </c>
      <c r="D11" s="30">
        <f>0.15*(77.67)</f>
        <v>11.650499999999999</v>
      </c>
      <c r="E11" s="31"/>
      <c r="F11" s="31">
        <f>D11*E11</f>
        <v>0</v>
      </c>
      <c r="G11" s="57"/>
    </row>
    <row r="12" spans="1:7" ht="15" thickBot="1">
      <c r="A12" s="12"/>
      <c r="B12" s="13"/>
      <c r="C12" s="13"/>
      <c r="D12" s="13"/>
      <c r="E12" s="14"/>
      <c r="F12" s="14"/>
      <c r="G12" s="15"/>
    </row>
    <row r="13" spans="1:7" ht="15" thickBot="1">
      <c r="A13" s="72">
        <v>2</v>
      </c>
      <c r="B13" s="234" t="s">
        <v>102</v>
      </c>
      <c r="C13" s="235"/>
      <c r="D13" s="235"/>
      <c r="E13" s="235"/>
      <c r="F13" s="236"/>
      <c r="G13" s="73">
        <f>F15</f>
        <v>0</v>
      </c>
    </row>
    <row r="14" spans="1:7">
      <c r="A14" s="58"/>
      <c r="B14" s="59"/>
      <c r="C14" s="24"/>
      <c r="D14" s="41"/>
      <c r="E14" s="42"/>
      <c r="F14" s="42"/>
      <c r="G14" s="60"/>
    </row>
    <row r="15" spans="1:7" ht="55.2">
      <c r="A15" s="75" t="s">
        <v>38</v>
      </c>
      <c r="B15" s="76" t="s">
        <v>169</v>
      </c>
      <c r="C15" s="77" t="s">
        <v>168</v>
      </c>
      <c r="D15" s="78">
        <f>0.8*0.8*0.4*1</f>
        <v>0.25600000000000006</v>
      </c>
      <c r="E15" s="79"/>
      <c r="F15" s="79">
        <f>D15*E15</f>
        <v>0</v>
      </c>
      <c r="G15" s="80"/>
    </row>
    <row r="16" spans="1:7" ht="15" thickBot="1">
      <c r="A16" s="16"/>
      <c r="B16" s="17"/>
      <c r="C16" s="18"/>
      <c r="D16" s="19"/>
      <c r="E16" s="20"/>
      <c r="F16" s="20"/>
      <c r="G16" s="21"/>
    </row>
    <row r="17" spans="1:7" ht="15" thickBot="1">
      <c r="A17" s="72">
        <v>3</v>
      </c>
      <c r="B17" s="234" t="s">
        <v>104</v>
      </c>
      <c r="C17" s="235"/>
      <c r="D17" s="235"/>
      <c r="E17" s="235"/>
      <c r="F17" s="236"/>
      <c r="G17" s="73">
        <f>F19+F21+F22+F23+F24</f>
        <v>0</v>
      </c>
    </row>
    <row r="18" spans="1:7">
      <c r="A18" s="81"/>
      <c r="B18" s="82"/>
      <c r="C18" s="82"/>
      <c r="D18" s="82"/>
      <c r="E18" s="83"/>
      <c r="F18" s="83"/>
      <c r="G18" s="84"/>
    </row>
    <row r="19" spans="1:7" ht="41.4">
      <c r="A19" s="27" t="s">
        <v>45</v>
      </c>
      <c r="B19" s="85" t="s">
        <v>170</v>
      </c>
      <c r="C19" s="77" t="s">
        <v>165</v>
      </c>
      <c r="D19" s="77">
        <f>0.6*0.6*1</f>
        <v>0.36</v>
      </c>
      <c r="E19" s="86"/>
      <c r="F19" s="86">
        <f>D19*E19</f>
        <v>0</v>
      </c>
      <c r="G19" s="87"/>
    </row>
    <row r="20" spans="1:7" ht="96.6">
      <c r="A20" s="61" t="s">
        <v>106</v>
      </c>
      <c r="B20" s="28" t="s">
        <v>39</v>
      </c>
      <c r="C20" s="29"/>
      <c r="D20" s="30"/>
      <c r="E20" s="31"/>
      <c r="F20" s="31"/>
      <c r="G20" s="32"/>
    </row>
    <row r="21" spans="1:7" ht="15">
      <c r="A21" s="33" t="s">
        <v>107</v>
      </c>
      <c r="B21" s="28" t="s">
        <v>108</v>
      </c>
      <c r="C21" s="34" t="s">
        <v>168</v>
      </c>
      <c r="D21" s="30">
        <f>0.5*0.5*0.4*1</f>
        <v>0.1</v>
      </c>
      <c r="E21" s="31"/>
      <c r="F21" s="31">
        <f>D21*E21</f>
        <v>0</v>
      </c>
      <c r="G21" s="32"/>
    </row>
    <row r="22" spans="1:7" ht="15">
      <c r="A22" s="33" t="s">
        <v>109</v>
      </c>
      <c r="B22" s="28" t="s">
        <v>110</v>
      </c>
      <c r="C22" s="34" t="s">
        <v>168</v>
      </c>
      <c r="D22" s="30">
        <f>0.2*0.2*3*1</f>
        <v>0.12000000000000002</v>
      </c>
      <c r="E22" s="31"/>
      <c r="F22" s="31">
        <f>D22*E22</f>
        <v>0</v>
      </c>
      <c r="G22" s="32"/>
    </row>
    <row r="23" spans="1:7" ht="15">
      <c r="A23" s="33" t="s">
        <v>111</v>
      </c>
      <c r="B23" s="28" t="s">
        <v>41</v>
      </c>
      <c r="C23" s="34" t="s">
        <v>168</v>
      </c>
      <c r="D23" s="30">
        <f>0.2*0.4*(0.88+3.35+2.92+3.77+3.35+2.92+2.83+3.86+3.86+3.86+3.86+1.88+1.88+2.77+2.77+3.43+3.43)</f>
        <v>4.1296000000000008</v>
      </c>
      <c r="E23" s="31"/>
      <c r="F23" s="31">
        <f>D23*E23</f>
        <v>0</v>
      </c>
      <c r="G23" s="32"/>
    </row>
    <row r="24" spans="1:7" ht="15">
      <c r="A24" s="33" t="s">
        <v>112</v>
      </c>
      <c r="B24" s="28" t="s">
        <v>43</v>
      </c>
      <c r="C24" s="34" t="s">
        <v>168</v>
      </c>
      <c r="D24" s="30">
        <f>0.15*(3.4+12.93+11.27+4.34+7.84+10.02+3.97)</f>
        <v>8.0654999999999983</v>
      </c>
      <c r="E24" s="31"/>
      <c r="F24" s="31">
        <f>D24*E24</f>
        <v>0</v>
      </c>
      <c r="G24" s="32"/>
    </row>
    <row r="25" spans="1:7" ht="15" thickBot="1">
      <c r="A25" s="35"/>
      <c r="B25" s="36"/>
      <c r="C25" s="36"/>
      <c r="D25" s="36"/>
      <c r="E25" s="37"/>
      <c r="F25" s="37"/>
      <c r="G25" s="38"/>
    </row>
    <row r="26" spans="1:7" ht="15" thickBot="1">
      <c r="A26" s="72">
        <v>4</v>
      </c>
      <c r="B26" s="232" t="s">
        <v>113</v>
      </c>
      <c r="C26" s="232"/>
      <c r="D26" s="232"/>
      <c r="E26" s="232"/>
      <c r="F26" s="232"/>
      <c r="G26" s="73">
        <f>F28</f>
        <v>0</v>
      </c>
    </row>
    <row r="27" spans="1:7">
      <c r="A27" s="88"/>
      <c r="B27" s="89"/>
      <c r="C27" s="89"/>
      <c r="D27" s="89"/>
      <c r="E27" s="25"/>
      <c r="F27" s="25"/>
      <c r="G27" s="26"/>
    </row>
    <row r="28" spans="1:7" ht="96.6">
      <c r="A28" s="48" t="s">
        <v>48</v>
      </c>
      <c r="B28" s="44" t="s">
        <v>171</v>
      </c>
      <c r="C28" s="34" t="s">
        <v>165</v>
      </c>
      <c r="D28" s="30">
        <f>(0.2*(0.88+3.35+2.92+3.77+3.35+2.92+2.83+3.86+3.86+3.86+3.86+1.88+1.88+2.77+2.77))</f>
        <v>8.9520000000000017</v>
      </c>
      <c r="E28" s="31"/>
      <c r="F28" s="31">
        <f>D28*E28</f>
        <v>0</v>
      </c>
      <c r="G28" s="32"/>
    </row>
    <row r="29" spans="1:7" ht="15" thickBot="1">
      <c r="A29" s="45"/>
      <c r="B29" s="46"/>
      <c r="C29" s="18"/>
      <c r="D29" s="19"/>
      <c r="E29" s="20"/>
      <c r="F29" s="20"/>
      <c r="G29" s="47"/>
    </row>
    <row r="30" spans="1:7" ht="15" thickBot="1">
      <c r="A30" s="72">
        <v>5</v>
      </c>
      <c r="B30" s="232" t="s">
        <v>115</v>
      </c>
      <c r="C30" s="232"/>
      <c r="D30" s="232"/>
      <c r="E30" s="232"/>
      <c r="F30" s="232"/>
      <c r="G30" s="73">
        <f>SUM(F31:F34)</f>
        <v>0</v>
      </c>
    </row>
    <row r="31" spans="1:7">
      <c r="A31" s="39"/>
      <c r="B31" s="40"/>
      <c r="C31" s="24"/>
      <c r="D31" s="41"/>
      <c r="E31" s="42"/>
      <c r="F31" s="42"/>
      <c r="G31" s="43"/>
    </row>
    <row r="32" spans="1:7" ht="27.6">
      <c r="A32" s="33" t="s">
        <v>57</v>
      </c>
      <c r="B32" s="152" t="s">
        <v>175</v>
      </c>
      <c r="C32" s="34" t="s">
        <v>165</v>
      </c>
      <c r="D32" s="30">
        <f>(3*(10.84))-(0.87*2.1+0.92*1.1+0.92*1.1+1*2.58+1.78*1.92)</f>
        <v>22.671399999999995</v>
      </c>
      <c r="E32" s="31"/>
      <c r="F32" s="31">
        <f>D32*E32</f>
        <v>0</v>
      </c>
      <c r="G32" s="32"/>
    </row>
    <row r="33" spans="1:7" ht="27.6">
      <c r="A33" s="33" t="s">
        <v>116</v>
      </c>
      <c r="B33" s="152" t="s">
        <v>176</v>
      </c>
      <c r="C33" s="34" t="s">
        <v>165</v>
      </c>
      <c r="D33" s="30">
        <f>(2.98*(0.89+0.89+2.92+2.92))-(1.25*1+0.8*2.1+1*2.58+1.92*1.78)</f>
        <v>13.78</v>
      </c>
      <c r="E33" s="31"/>
      <c r="F33" s="31">
        <f>D33*E33</f>
        <v>0</v>
      </c>
      <c r="G33" s="32"/>
    </row>
    <row r="34" spans="1:7" ht="15" thickBot="1">
      <c r="A34" s="45"/>
      <c r="B34" s="46"/>
      <c r="C34" s="18"/>
      <c r="D34" s="19"/>
      <c r="E34" s="20"/>
      <c r="F34" s="20"/>
      <c r="G34" s="47"/>
    </row>
    <row r="35" spans="1:7" ht="15" thickBot="1">
      <c r="A35" s="72">
        <v>6</v>
      </c>
      <c r="B35" s="232" t="s">
        <v>178</v>
      </c>
      <c r="C35" s="232"/>
      <c r="D35" s="232"/>
      <c r="E35" s="232"/>
      <c r="F35" s="232"/>
      <c r="G35" s="73">
        <f>SUM(F36:F42)</f>
        <v>0</v>
      </c>
    </row>
    <row r="36" spans="1:7">
      <c r="A36" s="39"/>
      <c r="B36" s="40"/>
      <c r="C36" s="23"/>
      <c r="D36" s="41"/>
      <c r="E36" s="42"/>
      <c r="F36" s="42"/>
      <c r="G36" s="43"/>
    </row>
    <row r="37" spans="1:7">
      <c r="A37" s="48" t="s">
        <v>71</v>
      </c>
      <c r="B37" s="153" t="s">
        <v>179</v>
      </c>
      <c r="C37" s="153"/>
      <c r="D37" s="153"/>
      <c r="E37" s="153"/>
      <c r="F37" s="153"/>
      <c r="G37" s="154"/>
    </row>
    <row r="38" spans="1:7" ht="69">
      <c r="A38" s="48" t="s">
        <v>119</v>
      </c>
      <c r="B38" s="152" t="s">
        <v>173</v>
      </c>
      <c r="C38" s="34" t="s">
        <v>165</v>
      </c>
      <c r="D38" s="30">
        <f>(2.98*(1.88+1.88+2.31+2.31))-(0.69*2.1+0.42*0.4)</f>
        <v>23.355400000000003</v>
      </c>
      <c r="E38" s="31"/>
      <c r="F38" s="31">
        <f>D38*E38</f>
        <v>0</v>
      </c>
      <c r="G38" s="32"/>
    </row>
    <row r="39" spans="1:7" ht="27.6">
      <c r="A39" s="48" t="s">
        <v>120</v>
      </c>
      <c r="B39" s="152" t="s">
        <v>176</v>
      </c>
      <c r="C39" s="155" t="s">
        <v>165</v>
      </c>
      <c r="D39" s="30">
        <f>(2.98*(1.88+1.88+2.31+2.31))-(0.69*2.1+0.42*0.4+0.8*2.1+0.8*2.1)</f>
        <v>19.995400000000004</v>
      </c>
      <c r="E39" s="156"/>
      <c r="F39" s="156">
        <f>D39*E39</f>
        <v>0</v>
      </c>
      <c r="G39" s="157"/>
    </row>
    <row r="40" spans="1:7" ht="55.2">
      <c r="A40" s="48" t="s">
        <v>121</v>
      </c>
      <c r="B40" s="44" t="s">
        <v>67</v>
      </c>
      <c r="C40" s="34" t="s">
        <v>165</v>
      </c>
      <c r="D40" s="30">
        <f>(2.1*(0.8+0.8))</f>
        <v>3.3600000000000003</v>
      </c>
      <c r="E40" s="31"/>
      <c r="F40" s="31">
        <f t="shared" ref="F40:F41" si="1">D40*E40</f>
        <v>0</v>
      </c>
      <c r="G40" s="32"/>
    </row>
    <row r="41" spans="1:7" ht="55.2">
      <c r="A41" s="48" t="s">
        <v>122</v>
      </c>
      <c r="B41" s="44" t="s">
        <v>69</v>
      </c>
      <c r="C41" s="34" t="s">
        <v>165</v>
      </c>
      <c r="D41" s="158">
        <f>4.47</f>
        <v>4.47</v>
      </c>
      <c r="E41" s="31"/>
      <c r="F41" s="31">
        <f t="shared" si="1"/>
        <v>0</v>
      </c>
      <c r="G41" s="32"/>
    </row>
    <row r="42" spans="1:7" ht="15" thickBot="1">
      <c r="A42" s="45"/>
      <c r="B42" s="46"/>
      <c r="C42" s="49"/>
      <c r="D42" s="19"/>
      <c r="E42" s="20"/>
      <c r="F42" s="20"/>
      <c r="G42" s="47"/>
    </row>
    <row r="43" spans="1:7" ht="15" thickBot="1">
      <c r="A43" s="72">
        <v>7</v>
      </c>
      <c r="B43" s="232" t="s">
        <v>124</v>
      </c>
      <c r="C43" s="232"/>
      <c r="D43" s="232"/>
      <c r="E43" s="232"/>
      <c r="F43" s="232"/>
      <c r="G43" s="73">
        <f>F45</f>
        <v>0</v>
      </c>
    </row>
    <row r="44" spans="1:7">
      <c r="A44" s="39"/>
      <c r="B44" s="40"/>
      <c r="C44" s="23"/>
      <c r="D44" s="41"/>
      <c r="E44" s="42"/>
      <c r="F44" s="42"/>
      <c r="G44" s="43"/>
    </row>
    <row r="45" spans="1:7" ht="55.2">
      <c r="A45" s="62" t="s">
        <v>75</v>
      </c>
      <c r="B45" s="63" t="s">
        <v>185</v>
      </c>
      <c r="C45" s="64" t="s">
        <v>73</v>
      </c>
      <c r="D45" s="65">
        <v>1</v>
      </c>
      <c r="E45" s="66"/>
      <c r="F45" s="66">
        <f>D45*E45</f>
        <v>0</v>
      </c>
      <c r="G45" s="67"/>
    </row>
    <row r="46" spans="1:7" ht="15" thickBot="1">
      <c r="A46" s="45"/>
      <c r="B46" s="46"/>
      <c r="C46" s="49"/>
      <c r="D46" s="19"/>
      <c r="E46" s="20"/>
      <c r="F46" s="20"/>
      <c r="G46" s="47"/>
    </row>
    <row r="47" spans="1:7" ht="15" thickBot="1">
      <c r="A47" s="72">
        <v>8</v>
      </c>
      <c r="B47" s="232" t="s">
        <v>186</v>
      </c>
      <c r="C47" s="232"/>
      <c r="D47" s="232"/>
      <c r="E47" s="232"/>
      <c r="F47" s="232"/>
      <c r="G47" s="73">
        <f>F49</f>
        <v>0</v>
      </c>
    </row>
    <row r="48" spans="1:7">
      <c r="A48" s="39"/>
      <c r="B48" s="40"/>
      <c r="C48" s="24"/>
      <c r="D48" s="41"/>
      <c r="E48" s="42"/>
      <c r="F48" s="42"/>
      <c r="G48" s="43"/>
    </row>
    <row r="49" spans="1:7" ht="55.2">
      <c r="A49" s="48" t="s">
        <v>78</v>
      </c>
      <c r="B49" s="44" t="s">
        <v>188</v>
      </c>
      <c r="C49" s="64" t="s">
        <v>73</v>
      </c>
      <c r="D49" s="30">
        <v>1</v>
      </c>
      <c r="E49" s="31"/>
      <c r="F49" s="31">
        <f>D49*E49</f>
        <v>0</v>
      </c>
      <c r="G49" s="32"/>
    </row>
    <row r="50" spans="1:7" ht="15" thickBot="1">
      <c r="A50" s="45"/>
      <c r="B50" s="50"/>
      <c r="C50" s="51"/>
      <c r="D50" s="52"/>
      <c r="E50" s="20"/>
      <c r="F50" s="20"/>
      <c r="G50" s="47"/>
    </row>
    <row r="51" spans="1:7" ht="15" thickBot="1">
      <c r="A51" s="72">
        <v>9</v>
      </c>
      <c r="B51" s="232" t="s">
        <v>126</v>
      </c>
      <c r="C51" s="232"/>
      <c r="D51" s="232"/>
      <c r="E51" s="232"/>
      <c r="F51" s="232"/>
      <c r="G51" s="73">
        <f>F53</f>
        <v>0</v>
      </c>
    </row>
    <row r="52" spans="1:7">
      <c r="A52" s="39"/>
      <c r="B52" s="40"/>
      <c r="C52" s="24"/>
      <c r="D52" s="41"/>
      <c r="E52" s="42"/>
      <c r="F52" s="42"/>
      <c r="G52" s="43"/>
    </row>
    <row r="53" spans="1:7" ht="69">
      <c r="A53" s="48" t="s">
        <v>82</v>
      </c>
      <c r="B53" s="44" t="s">
        <v>192</v>
      </c>
      <c r="C53" s="34" t="s">
        <v>73</v>
      </c>
      <c r="D53" s="30">
        <v>1</v>
      </c>
      <c r="E53" s="31"/>
      <c r="F53" s="31">
        <f>D53*E53</f>
        <v>0</v>
      </c>
      <c r="G53" s="32"/>
    </row>
    <row r="54" spans="1:7" ht="15" thickBot="1">
      <c r="A54" s="45"/>
      <c r="B54" s="50"/>
      <c r="C54" s="51"/>
      <c r="D54" s="52"/>
      <c r="E54" s="20"/>
      <c r="F54" s="20"/>
      <c r="G54" s="47"/>
    </row>
    <row r="55" spans="1:7" ht="15" thickBot="1">
      <c r="A55" s="72">
        <v>10</v>
      </c>
      <c r="B55" s="232" t="s">
        <v>128</v>
      </c>
      <c r="C55" s="232"/>
      <c r="D55" s="232"/>
      <c r="E55" s="232"/>
      <c r="F55" s="232"/>
      <c r="G55" s="73">
        <f>F57+F58</f>
        <v>0</v>
      </c>
    </row>
    <row r="56" spans="1:7">
      <c r="A56" s="39"/>
      <c r="B56" s="40"/>
      <c r="C56" s="24"/>
      <c r="D56" s="41"/>
      <c r="E56" s="42"/>
      <c r="F56" s="42"/>
      <c r="G56" s="43"/>
    </row>
    <row r="57" spans="1:7" ht="69">
      <c r="A57" s="62" t="s">
        <v>87</v>
      </c>
      <c r="B57" s="90" t="s">
        <v>193</v>
      </c>
      <c r="C57" s="64" t="s">
        <v>73</v>
      </c>
      <c r="D57" s="65">
        <v>1</v>
      </c>
      <c r="E57" s="66"/>
      <c r="F57" s="66">
        <f>D57*E57</f>
        <v>0</v>
      </c>
      <c r="G57" s="67"/>
    </row>
    <row r="58" spans="1:7" ht="55.2">
      <c r="A58" s="62" t="s">
        <v>99</v>
      </c>
      <c r="B58" s="44" t="s">
        <v>67</v>
      </c>
      <c r="C58" s="34" t="s">
        <v>165</v>
      </c>
      <c r="D58" s="30">
        <f>(0.6*1.8)</f>
        <v>1.08</v>
      </c>
      <c r="E58" s="31"/>
      <c r="F58" s="31">
        <f t="shared" ref="F58" si="2">D58*E58</f>
        <v>0</v>
      </c>
      <c r="G58" s="32"/>
    </row>
    <row r="59" spans="1:7" ht="15" thickBot="1">
      <c r="A59" s="68"/>
      <c r="B59" s="69"/>
      <c r="C59" s="69"/>
      <c r="D59" s="69"/>
      <c r="E59" s="70"/>
      <c r="F59" s="70"/>
      <c r="G59" s="71"/>
    </row>
    <row r="60" spans="1:7" ht="15" thickBot="1">
      <c r="A60" s="159">
        <v>11</v>
      </c>
      <c r="B60" s="242" t="s">
        <v>204</v>
      </c>
      <c r="C60" s="242"/>
      <c r="D60" s="242"/>
      <c r="E60" s="242"/>
      <c r="F60" s="242"/>
      <c r="G60" s="160">
        <f>SUM(F61:F69)</f>
        <v>0</v>
      </c>
    </row>
    <row r="61" spans="1:7">
      <c r="A61" s="161"/>
      <c r="B61" s="162"/>
      <c r="C61" s="163"/>
      <c r="D61" s="164"/>
      <c r="E61" s="165"/>
      <c r="F61" s="165"/>
      <c r="G61" s="166"/>
    </row>
    <row r="62" spans="1:7" ht="69">
      <c r="A62" s="167" t="s">
        <v>130</v>
      </c>
      <c r="B62" s="44" t="s">
        <v>205</v>
      </c>
      <c r="C62" s="155" t="s">
        <v>61</v>
      </c>
      <c r="D62" s="158">
        <v>1</v>
      </c>
      <c r="E62" s="156"/>
      <c r="F62" s="156">
        <f t="shared" ref="F62:F68" si="3">+D62*E62</f>
        <v>0</v>
      </c>
      <c r="G62" s="157"/>
    </row>
    <row r="63" spans="1:7" ht="69">
      <c r="A63" s="167" t="s">
        <v>131</v>
      </c>
      <c r="B63" s="44" t="s">
        <v>206</v>
      </c>
      <c r="C63" s="155" t="s">
        <v>61</v>
      </c>
      <c r="D63" s="158">
        <v>2</v>
      </c>
      <c r="E63" s="156"/>
      <c r="F63" s="156">
        <f t="shared" si="3"/>
        <v>0</v>
      </c>
      <c r="G63" s="157"/>
    </row>
    <row r="64" spans="1:7" ht="69">
      <c r="A64" s="167" t="s">
        <v>133</v>
      </c>
      <c r="B64" s="44" t="s">
        <v>207</v>
      </c>
      <c r="C64" s="155" t="s">
        <v>61</v>
      </c>
      <c r="D64" s="158">
        <v>1</v>
      </c>
      <c r="E64" s="156"/>
      <c r="F64" s="156">
        <f t="shared" si="3"/>
        <v>0</v>
      </c>
      <c r="G64" s="157"/>
    </row>
    <row r="65" spans="1:7" ht="69">
      <c r="A65" s="167" t="s">
        <v>197</v>
      </c>
      <c r="B65" s="44" t="s">
        <v>208</v>
      </c>
      <c r="C65" s="155" t="s">
        <v>61</v>
      </c>
      <c r="D65" s="158">
        <v>1</v>
      </c>
      <c r="E65" s="156"/>
      <c r="F65" s="156">
        <f t="shared" si="3"/>
        <v>0</v>
      </c>
      <c r="G65" s="157"/>
    </row>
    <row r="66" spans="1:7" ht="69">
      <c r="A66" s="167" t="s">
        <v>198</v>
      </c>
      <c r="B66" s="44" t="s">
        <v>209</v>
      </c>
      <c r="C66" s="155" t="s">
        <v>61</v>
      </c>
      <c r="D66" s="158">
        <v>1</v>
      </c>
      <c r="E66" s="156"/>
      <c r="F66" s="156">
        <f t="shared" si="3"/>
        <v>0</v>
      </c>
      <c r="G66" s="157"/>
    </row>
    <row r="67" spans="1:7" ht="69">
      <c r="A67" s="167" t="s">
        <v>210</v>
      </c>
      <c r="B67" s="44" t="s">
        <v>211</v>
      </c>
      <c r="C67" s="155" t="s">
        <v>61</v>
      </c>
      <c r="D67" s="158">
        <v>1</v>
      </c>
      <c r="E67" s="156"/>
      <c r="F67" s="156">
        <f t="shared" si="3"/>
        <v>0</v>
      </c>
      <c r="G67" s="157"/>
    </row>
    <row r="68" spans="1:7" ht="69">
      <c r="A68" s="167" t="s">
        <v>212</v>
      </c>
      <c r="B68" s="44" t="s">
        <v>213</v>
      </c>
      <c r="C68" s="155" t="s">
        <v>61</v>
      </c>
      <c r="D68" s="158">
        <v>1</v>
      </c>
      <c r="E68" s="156"/>
      <c r="F68" s="156">
        <f t="shared" si="3"/>
        <v>0</v>
      </c>
      <c r="G68" s="157"/>
    </row>
    <row r="69" spans="1:7" ht="15" thickBot="1">
      <c r="A69" s="168"/>
      <c r="B69" s="169"/>
      <c r="C69" s="170"/>
      <c r="D69" s="171"/>
      <c r="E69" s="172"/>
      <c r="F69" s="172"/>
      <c r="G69" s="173"/>
    </row>
    <row r="70" spans="1:7" ht="15" thickBot="1">
      <c r="A70" s="159">
        <v>12</v>
      </c>
      <c r="B70" s="242" t="s">
        <v>214</v>
      </c>
      <c r="C70" s="242"/>
      <c r="D70" s="242"/>
      <c r="E70" s="242"/>
      <c r="F70" s="242"/>
      <c r="G70" s="160">
        <f>SUM(F71:F75)</f>
        <v>0</v>
      </c>
    </row>
    <row r="71" spans="1:7">
      <c r="A71" s="161"/>
      <c r="B71" s="162"/>
      <c r="C71" s="163"/>
      <c r="D71" s="164"/>
      <c r="E71" s="165"/>
      <c r="F71" s="165"/>
      <c r="G71" s="166"/>
    </row>
    <row r="72" spans="1:7" ht="41.4">
      <c r="A72" s="167" t="s">
        <v>201</v>
      </c>
      <c r="B72" s="152" t="s">
        <v>215</v>
      </c>
      <c r="C72" s="155" t="s">
        <v>61</v>
      </c>
      <c r="D72" s="158">
        <v>1</v>
      </c>
      <c r="E72" s="156"/>
      <c r="F72" s="156">
        <f>+D72*E72</f>
        <v>0</v>
      </c>
      <c r="G72" s="157"/>
    </row>
    <row r="73" spans="1:7" ht="41.4">
      <c r="A73" s="167" t="s">
        <v>216</v>
      </c>
      <c r="B73" s="152" t="s">
        <v>217</v>
      </c>
      <c r="C73" s="155" t="s">
        <v>61</v>
      </c>
      <c r="D73" s="158">
        <v>1</v>
      </c>
      <c r="E73" s="156"/>
      <c r="F73" s="156">
        <f>+D73*E73</f>
        <v>0</v>
      </c>
      <c r="G73" s="157"/>
    </row>
    <row r="74" spans="1:7" ht="41.4">
      <c r="A74" s="167" t="s">
        <v>218</v>
      </c>
      <c r="B74" s="152" t="s">
        <v>219</v>
      </c>
      <c r="C74" s="155" t="s">
        <v>61</v>
      </c>
      <c r="D74" s="158">
        <v>1</v>
      </c>
      <c r="E74" s="156"/>
      <c r="F74" s="156">
        <f>+D74*E74</f>
        <v>0</v>
      </c>
      <c r="G74" s="157"/>
    </row>
    <row r="75" spans="1:7" ht="15" thickBot="1">
      <c r="A75" s="168"/>
      <c r="B75" s="169"/>
      <c r="C75" s="170"/>
      <c r="D75" s="171"/>
      <c r="E75" s="172"/>
      <c r="F75" s="172"/>
      <c r="G75" s="173"/>
    </row>
    <row r="76" spans="1:7" ht="15" thickBot="1">
      <c r="A76" s="55"/>
      <c r="B76" s="239"/>
      <c r="C76" s="239"/>
      <c r="D76" s="239"/>
      <c r="E76" s="239"/>
      <c r="F76" s="239"/>
      <c r="G76" s="239">
        <f>SUM(G8:G69)</f>
        <v>0</v>
      </c>
    </row>
    <row r="77" spans="1:7" ht="15" thickBot="1">
      <c r="A77" s="55"/>
      <c r="B77" s="241" t="s">
        <v>89</v>
      </c>
      <c r="C77" s="241"/>
      <c r="D77" s="241"/>
      <c r="E77" s="241"/>
      <c r="F77" s="241"/>
      <c r="G77" s="233"/>
    </row>
  </sheetData>
  <mergeCells count="26">
    <mergeCell ref="B76:F76"/>
    <mergeCell ref="G76:G77"/>
    <mergeCell ref="B77:F77"/>
    <mergeCell ref="B55:F55"/>
    <mergeCell ref="B60:F60"/>
    <mergeCell ref="B26:F26"/>
    <mergeCell ref="B30:F30"/>
    <mergeCell ref="B43:F43"/>
    <mergeCell ref="B47:F47"/>
    <mergeCell ref="B70:F70"/>
    <mergeCell ref="B51:F51"/>
    <mergeCell ref="B35:F35"/>
    <mergeCell ref="B1:E1"/>
    <mergeCell ref="F2:G2"/>
    <mergeCell ref="B3:E3"/>
    <mergeCell ref="F3:G3"/>
    <mergeCell ref="F5:G5"/>
    <mergeCell ref="B17:F17"/>
    <mergeCell ref="A7:G7"/>
    <mergeCell ref="B8:F8"/>
    <mergeCell ref="B13:F13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11</vt:i4>
      </vt:variant>
    </vt:vector>
  </HeadingPairs>
  <TitlesOfParts>
    <vt:vector size="11" baseType="lpstr">
      <vt:lpstr>Lista</vt:lpstr>
      <vt:lpstr>CAP.0-ESTALEIRO</vt:lpstr>
      <vt:lpstr>Vitorina Varela Lopes</vt:lpstr>
      <vt:lpstr>Jassica Gomes das Neves </vt:lpstr>
      <vt:lpstr>Vaneisa Veiga Souto Amado</vt:lpstr>
      <vt:lpstr>Patricia Afonso Furtado</vt:lpstr>
      <vt:lpstr>Teresa Maria Correia Moreira</vt:lpstr>
      <vt:lpstr>Ana Lurdes da Veiga Correia</vt:lpstr>
      <vt:lpstr>Isabel Vieira Tavares</vt:lpstr>
      <vt:lpstr>Elisangela Lopes dos Santos</vt:lpstr>
      <vt:lpstr>Maria Bernaldeth Correia Sena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2024-01-05T16:08:12Z</dcterms:modified>
</cp:coreProperties>
</file>