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 Pinheiro\Desktop\Dossier Concurso_Eugenio Lima\Dossier Concurso Engénio Lima_Lote 3, 4 e 5\1_Mapa de medições\"/>
    </mc:Choice>
  </mc:AlternateContent>
  <bookViews>
    <workbookView xWindow="0" yWindow="0" windowWidth="23040" windowHeight="9072" tabRatio="839"/>
  </bookViews>
  <sheets>
    <sheet name="Lista" sheetId="54" r:id="rId1"/>
    <sheet name="CAP.0-ESTALEIRO" sheetId="57" r:id="rId2"/>
    <sheet name="Hirondina Gamboa De Aguiar" sheetId="50" r:id="rId3"/>
    <sheet name="Maria Mafalda Correia Lopes" sheetId="51" r:id="rId4"/>
    <sheet name="Maria Eduarda Pina Ribeiro" sheetId="52" r:id="rId5"/>
    <sheet name="Domingas Mendes Moreno" sheetId="53" r:id="rId6"/>
    <sheet name="Maria Elisabeth Soares Rebeiro" sheetId="48" r:id="rId7"/>
    <sheet name="MARIA MAGDALENA MONTEIRO RAMOS" sheetId="55" r:id="rId8"/>
    <sheet name="Maria Sábado Odete Tavares" sheetId="56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7" l="1"/>
  <c r="G8" i="57" s="1"/>
  <c r="G12" i="57" s="1"/>
  <c r="F71" i="52" l="1"/>
  <c r="F70" i="52"/>
  <c r="G68" i="52"/>
  <c r="F66" i="52"/>
  <c r="F65" i="52"/>
  <c r="F64" i="52"/>
  <c r="F63" i="52"/>
  <c r="F62" i="52"/>
  <c r="F61" i="52"/>
  <c r="G59" i="52"/>
  <c r="D57" i="52"/>
  <c r="F57" i="52" s="1"/>
  <c r="G54" i="52" s="1"/>
  <c r="F56" i="52"/>
  <c r="F52" i="52"/>
  <c r="F51" i="52"/>
  <c r="G49" i="52" s="1"/>
  <c r="F47" i="52"/>
  <c r="G45" i="52"/>
  <c r="F43" i="52"/>
  <c r="G41" i="52"/>
  <c r="F39" i="52"/>
  <c r="F38" i="52"/>
  <c r="F37" i="52"/>
  <c r="D35" i="52"/>
  <c r="F35" i="52" s="1"/>
  <c r="D33" i="52"/>
  <c r="D34" i="52" s="1"/>
  <c r="F34" i="52" s="1"/>
  <c r="F28" i="52"/>
  <c r="D28" i="52"/>
  <c r="D27" i="52"/>
  <c r="F27" i="52" s="1"/>
  <c r="G25" i="52" s="1"/>
  <c r="D23" i="52"/>
  <c r="F23" i="52" s="1"/>
  <c r="D22" i="52"/>
  <c r="F22" i="52" s="1"/>
  <c r="G20" i="52" s="1"/>
  <c r="D18" i="52"/>
  <c r="F18" i="52" s="1"/>
  <c r="D17" i="52"/>
  <c r="F17" i="52" s="1"/>
  <c r="F12" i="52"/>
  <c r="G10" i="52" s="1"/>
  <c r="D12" i="52"/>
  <c r="G14" i="52" l="1"/>
  <c r="F33" i="52"/>
  <c r="G30" i="52" s="1"/>
  <c r="G73" i="52" s="1"/>
  <c r="F89" i="48" l="1"/>
  <c r="D88" i="48"/>
  <c r="F88" i="48" s="1"/>
  <c r="G86" i="48" s="1"/>
  <c r="F84" i="48"/>
  <c r="G79" i="48" s="1"/>
  <c r="F83" i="48"/>
  <c r="F82" i="48"/>
  <c r="F81" i="48"/>
  <c r="F77" i="48"/>
  <c r="F76" i="48"/>
  <c r="F75" i="48"/>
  <c r="G73" i="48"/>
  <c r="D71" i="48"/>
  <c r="F71" i="48" s="1"/>
  <c r="F70" i="48"/>
  <c r="F66" i="48"/>
  <c r="G61" i="48" s="1"/>
  <c r="F65" i="48"/>
  <c r="F64" i="48"/>
  <c r="F63" i="48"/>
  <c r="F59" i="48"/>
  <c r="F58" i="48"/>
  <c r="G56" i="48"/>
  <c r="F54" i="48"/>
  <c r="G52" i="48"/>
  <c r="F50" i="48"/>
  <c r="F49" i="48"/>
  <c r="F48" i="48"/>
  <c r="F46" i="48"/>
  <c r="D46" i="48"/>
  <c r="D45" i="48"/>
  <c r="F45" i="48" s="1"/>
  <c r="D44" i="48"/>
  <c r="F44" i="48" s="1"/>
  <c r="F43" i="48"/>
  <c r="D43" i="48"/>
  <c r="D38" i="48"/>
  <c r="F38" i="48" s="1"/>
  <c r="D37" i="48"/>
  <c r="F37" i="48" s="1"/>
  <c r="D36" i="48"/>
  <c r="F36" i="48" s="1"/>
  <c r="D35" i="48"/>
  <c r="F35" i="48" s="1"/>
  <c r="D34" i="48"/>
  <c r="F34" i="48" s="1"/>
  <c r="D33" i="48"/>
  <c r="F33" i="48" s="1"/>
  <c r="F29" i="48"/>
  <c r="G27" i="48" s="1"/>
  <c r="D29" i="48"/>
  <c r="D25" i="48"/>
  <c r="F25" i="48" s="1"/>
  <c r="D24" i="48"/>
  <c r="F24" i="48" s="1"/>
  <c r="D23" i="48"/>
  <c r="F23" i="48" s="1"/>
  <c r="D22" i="48"/>
  <c r="F22" i="48" s="1"/>
  <c r="D20" i="48"/>
  <c r="F20" i="48" s="1"/>
  <c r="D16" i="48"/>
  <c r="F16" i="48" s="1"/>
  <c r="G14" i="48" s="1"/>
  <c r="F12" i="48"/>
  <c r="D12" i="48"/>
  <c r="D11" i="48"/>
  <c r="F11" i="48" s="1"/>
  <c r="D10" i="48"/>
  <c r="F10" i="48" s="1"/>
  <c r="G8" i="48" s="1"/>
  <c r="F86" i="53"/>
  <c r="D85" i="53"/>
  <c r="F85" i="53" s="1"/>
  <c r="G83" i="53" s="1"/>
  <c r="F81" i="53"/>
  <c r="F80" i="53"/>
  <c r="F79" i="53"/>
  <c r="F78" i="53"/>
  <c r="G76" i="53"/>
  <c r="F74" i="53"/>
  <c r="F73" i="53"/>
  <c r="F72" i="53"/>
  <c r="F71" i="53"/>
  <c r="F70" i="53"/>
  <c r="G68" i="53"/>
  <c r="F66" i="53"/>
  <c r="D66" i="53"/>
  <c r="F65" i="53"/>
  <c r="F61" i="53"/>
  <c r="F60" i="53"/>
  <c r="F59" i="53"/>
  <c r="F58" i="53"/>
  <c r="G56" i="53"/>
  <c r="F54" i="53"/>
  <c r="F53" i="53"/>
  <c r="G51" i="53"/>
  <c r="F49" i="53"/>
  <c r="G47" i="53"/>
  <c r="F45" i="53"/>
  <c r="F44" i="53"/>
  <c r="F43" i="53"/>
  <c r="D41" i="53"/>
  <c r="F41" i="53" s="1"/>
  <c r="D40" i="53"/>
  <c r="F40" i="53" s="1"/>
  <c r="D39" i="53"/>
  <c r="F39" i="53" s="1"/>
  <c r="D38" i="53"/>
  <c r="F38" i="53" s="1"/>
  <c r="D33" i="53"/>
  <c r="F33" i="53" s="1"/>
  <c r="G31" i="53" s="1"/>
  <c r="D29" i="53"/>
  <c r="F29" i="53" s="1"/>
  <c r="F28" i="53"/>
  <c r="D28" i="53"/>
  <c r="D24" i="53"/>
  <c r="F24" i="53" s="1"/>
  <c r="F23" i="53"/>
  <c r="D23" i="53"/>
  <c r="D22" i="53"/>
  <c r="F22" i="53" s="1"/>
  <c r="D21" i="53"/>
  <c r="F21" i="53" s="1"/>
  <c r="D19" i="53"/>
  <c r="F19" i="53" s="1"/>
  <c r="D15" i="53"/>
  <c r="F15" i="53" s="1"/>
  <c r="G13" i="53" s="1"/>
  <c r="F11" i="53"/>
  <c r="D11" i="53"/>
  <c r="D10" i="53"/>
  <c r="F10" i="53" s="1"/>
  <c r="F56" i="51"/>
  <c r="G54" i="51"/>
  <c r="F52" i="51"/>
  <c r="D52" i="51"/>
  <c r="F51" i="51"/>
  <c r="G49" i="51" s="1"/>
  <c r="F47" i="51"/>
  <c r="F46" i="51"/>
  <c r="G44" i="51"/>
  <c r="F42" i="51"/>
  <c r="F41" i="51"/>
  <c r="G39" i="51"/>
  <c r="F37" i="51"/>
  <c r="G35" i="51"/>
  <c r="F33" i="51"/>
  <c r="F32" i="51"/>
  <c r="D30" i="51"/>
  <c r="F30" i="51" s="1"/>
  <c r="D29" i="51"/>
  <c r="F29" i="51" s="1"/>
  <c r="F28" i="51"/>
  <c r="D28" i="51"/>
  <c r="D27" i="51"/>
  <c r="F27" i="51" s="1"/>
  <c r="D22" i="51"/>
  <c r="F22" i="51" s="1"/>
  <c r="D21" i="51"/>
  <c r="F21" i="51" s="1"/>
  <c r="D20" i="51"/>
  <c r="F20" i="51" s="1"/>
  <c r="D19" i="51"/>
  <c r="F19" i="51" s="1"/>
  <c r="D18" i="51"/>
  <c r="F18" i="51" s="1"/>
  <c r="F14" i="51"/>
  <c r="G12" i="51" s="1"/>
  <c r="D14" i="51"/>
  <c r="D10" i="51"/>
  <c r="F10" i="51" s="1"/>
  <c r="G8" i="51" s="1"/>
  <c r="F42" i="50"/>
  <c r="G40" i="50"/>
  <c r="F38" i="50"/>
  <c r="F37" i="50"/>
  <c r="F36" i="50"/>
  <c r="F35" i="50"/>
  <c r="G32" i="50" s="1"/>
  <c r="F34" i="50"/>
  <c r="F30" i="50"/>
  <c r="G28" i="50"/>
  <c r="D26" i="50"/>
  <c r="F26" i="50" s="1"/>
  <c r="F25" i="50"/>
  <c r="D25" i="50"/>
  <c r="D21" i="50"/>
  <c r="F21" i="50" s="1"/>
  <c r="G19" i="50" s="1"/>
  <c r="D17" i="50"/>
  <c r="F17" i="50" s="1"/>
  <c r="D16" i="50"/>
  <c r="F16" i="50" s="1"/>
  <c r="G13" i="50" s="1"/>
  <c r="D11" i="50"/>
  <c r="F11" i="50" s="1"/>
  <c r="D10" i="50"/>
  <c r="F10" i="50" s="1"/>
  <c r="G68" i="48" l="1"/>
  <c r="G40" i="48"/>
  <c r="G18" i="48"/>
  <c r="G63" i="53"/>
  <c r="G35" i="53"/>
  <c r="G26" i="53"/>
  <c r="G17" i="53"/>
  <c r="G8" i="53"/>
  <c r="G23" i="50"/>
  <c r="G44" i="50" s="1"/>
  <c r="G8" i="50"/>
  <c r="G31" i="48"/>
  <c r="G91" i="48" s="1"/>
  <c r="G16" i="51"/>
  <c r="G24" i="51"/>
  <c r="G88" i="53" l="1"/>
  <c r="G58" i="51"/>
  <c r="F63" i="56"/>
  <c r="F62" i="56"/>
  <c r="G60" i="56"/>
  <c r="F58" i="56"/>
  <c r="G56" i="56"/>
  <c r="D54" i="56"/>
  <c r="F54" i="56" s="1"/>
  <c r="F53" i="56"/>
  <c r="G51" i="56" s="1"/>
  <c r="F49" i="56"/>
  <c r="G47" i="56"/>
  <c r="F45" i="56"/>
  <c r="G43" i="56"/>
  <c r="F41" i="56"/>
  <c r="G39" i="56"/>
  <c r="F37" i="56"/>
  <c r="D36" i="56"/>
  <c r="F36" i="56" s="1"/>
  <c r="G30" i="56" s="1"/>
  <c r="F35" i="56"/>
  <c r="F34" i="56"/>
  <c r="F33" i="56"/>
  <c r="F28" i="56"/>
  <c r="D26" i="56"/>
  <c r="F26" i="56" s="1"/>
  <c r="F22" i="56"/>
  <c r="G20" i="56" s="1"/>
  <c r="D18" i="56"/>
  <c r="F18" i="56" s="1"/>
  <c r="D17" i="56"/>
  <c r="F17" i="56" s="1"/>
  <c r="G14" i="56" s="1"/>
  <c r="D12" i="56"/>
  <c r="F12" i="56" s="1"/>
  <c r="G10" i="56" s="1"/>
  <c r="F60" i="55"/>
  <c r="G59" i="55"/>
  <c r="F57" i="55"/>
  <c r="G55" i="55" s="1"/>
  <c r="D53" i="55"/>
  <c r="F53" i="55" s="1"/>
  <c r="G50" i="55" s="1"/>
  <c r="F52" i="55"/>
  <c r="F48" i="55"/>
  <c r="F47" i="55"/>
  <c r="F46" i="55"/>
  <c r="G44" i="55"/>
  <c r="F42" i="55"/>
  <c r="G40" i="55"/>
  <c r="F38" i="55"/>
  <c r="G32" i="55" s="1"/>
  <c r="F37" i="55"/>
  <c r="D37" i="55"/>
  <c r="F36" i="55"/>
  <c r="F35" i="55"/>
  <c r="D30" i="55"/>
  <c r="F30" i="55" s="1"/>
  <c r="D29" i="55"/>
  <c r="F29" i="55" s="1"/>
  <c r="D27" i="55"/>
  <c r="D28" i="55" s="1"/>
  <c r="F28" i="55" s="1"/>
  <c r="F22" i="55"/>
  <c r="G20" i="55" s="1"/>
  <c r="F18" i="55"/>
  <c r="D18" i="55"/>
  <c r="D17" i="55"/>
  <c r="F17" i="55" s="1"/>
  <c r="D12" i="55"/>
  <c r="F12" i="55" s="1"/>
  <c r="G10" i="55" s="1"/>
  <c r="G14" i="55" l="1"/>
  <c r="D27" i="56"/>
  <c r="F27" i="56" s="1"/>
  <c r="G24" i="56" s="1"/>
  <c r="G65" i="56" s="1"/>
  <c r="F27" i="55"/>
  <c r="G25" i="55" s="1"/>
  <c r="G62" i="55" l="1"/>
</calcChain>
</file>

<file path=xl/comments1.xml><?xml version="1.0" encoding="utf-8"?>
<comments xmlns="http://schemas.openxmlformats.org/spreadsheetml/2006/main">
  <authors>
    <author>DGH</author>
  </authors>
  <commentList>
    <comment ref="B39" authorId="0" shapeId="0">
      <text>
        <r>
          <rPr>
            <b/>
            <sz val="9"/>
            <color indexed="81"/>
            <rFont val="Tahoma"/>
            <family val="2"/>
          </rPr>
          <t>DGH:</t>
        </r>
        <r>
          <rPr>
            <sz val="9"/>
            <color indexed="81"/>
            <rFont val="Tahoma"/>
            <family val="2"/>
          </rPr>
          <t xml:space="preserve">
Especificar para casos mais concretos (ex uando falte apenas uma peça da sanita tipo tampa ou autoclismo)
</t>
        </r>
      </text>
    </comment>
  </commentList>
</comments>
</file>

<file path=xl/sharedStrings.xml><?xml version="1.0" encoding="utf-8"?>
<sst xmlns="http://schemas.openxmlformats.org/spreadsheetml/2006/main" count="806" uniqueCount="247">
  <si>
    <t>Nº</t>
  </si>
  <si>
    <t>Beneficiária (o)</t>
  </si>
  <si>
    <t>Hirondina Gamboa De Aguiar</t>
  </si>
  <si>
    <t>Maria Mafalda Correia Lopes</t>
  </si>
  <si>
    <t>Maria Eduarda Pina Ribeiro</t>
  </si>
  <si>
    <t>Domingas Mendes Moreno</t>
  </si>
  <si>
    <t>Maria Elisabeth Soares Rebeiro</t>
  </si>
  <si>
    <t>Maria Magdalena Monteiro Ramos</t>
  </si>
  <si>
    <t>Maria Sábado Odete Tavares Andrade Horta</t>
  </si>
  <si>
    <t>REQ.</t>
  </si>
  <si>
    <t>LOCAL</t>
  </si>
  <si>
    <t>EUGÉNIO LIMA - MUNICÍPIO DA PRAIA</t>
  </si>
  <si>
    <t>OBRA</t>
  </si>
  <si>
    <t>PROPR.</t>
  </si>
  <si>
    <t>MARIA MAGDALENA MONTEIRO RAMOS</t>
  </si>
  <si>
    <t>Data: OUTUBRO DE 2023</t>
  </si>
  <si>
    <t>Art.</t>
  </si>
  <si>
    <t>Designação</t>
  </si>
  <si>
    <t>Un.</t>
  </si>
  <si>
    <t>Quant.</t>
  </si>
  <si>
    <t>Preço Unitário</t>
  </si>
  <si>
    <t>Importância</t>
  </si>
  <si>
    <t>Designação dos Trabalhos</t>
  </si>
  <si>
    <t>Un</t>
  </si>
  <si>
    <t>Quantid.</t>
  </si>
  <si>
    <t>Por Artigo</t>
  </si>
  <si>
    <t>Por Capítulo</t>
  </si>
  <si>
    <t>CAP I - TRABALHOS PREPARATÓRIOS / DEMOLIÇÃO</t>
  </si>
  <si>
    <t>1.1</t>
  </si>
  <si>
    <r>
      <t xml:space="preserve">Remoção de cobertura em </t>
    </r>
    <r>
      <rPr>
        <b/>
        <sz val="10"/>
        <rFont val="Times New Roman"/>
        <family val="1"/>
      </rPr>
      <t>chapa metálica</t>
    </r>
    <r>
      <rPr>
        <sz val="10"/>
        <rFont val="Times New Roman"/>
        <family val="1"/>
      </rPr>
      <t xml:space="preserve"> incluindo escoramento da estrutura existente, a remoção e transporte de entulho para o vazadouro municipal. </t>
    </r>
  </si>
  <si>
    <r>
      <t>m</t>
    </r>
    <r>
      <rPr>
        <vertAlign val="superscript"/>
        <sz val="10"/>
        <rFont val="Times New Roman"/>
        <family val="1"/>
      </rPr>
      <t>2</t>
    </r>
    <r>
      <rPr>
        <sz val="11"/>
        <color theme="1"/>
        <rFont val="Calibri"/>
        <family val="2"/>
        <scheme val="minor"/>
      </rPr>
      <t/>
    </r>
  </si>
  <si>
    <t>CAP II - ESTRUTURAS DE BETÃO</t>
  </si>
  <si>
    <t>2.1</t>
  </si>
  <si>
    <t>Fornecimento e aplicação de betão C25/30 (B30), S3 em elementos estruturais, incluindo armadura em aço A500NR e cofragem mista de madeira e metálica, uso de vibrador de agulha, testes, todos os trabalhos e acessórios complementares, correta aplicação da sua desmontagem e cura:</t>
  </si>
  <si>
    <t>2.1.1</t>
  </si>
  <si>
    <t>Vigas</t>
  </si>
  <si>
    <r>
      <t>m</t>
    </r>
    <r>
      <rPr>
        <vertAlign val="superscript"/>
        <sz val="10"/>
        <rFont val="Times New Roman"/>
        <family val="1"/>
      </rPr>
      <t>3</t>
    </r>
  </si>
  <si>
    <t>2.1.2</t>
  </si>
  <si>
    <t>Lajes Maciças</t>
  </si>
  <si>
    <t xml:space="preserve">CAP III - ALVENARIA </t>
  </si>
  <si>
    <t>3.1</t>
  </si>
  <si>
    <t>Execução de alvenarias em blocos (20x20x40 cm)  de betão, assentes com argamassa de cimento e areia ao traço 1:4, incluindo todos os trabalhos e acessórios complementares, com as dimensões:</t>
  </si>
  <si>
    <t xml:space="preserve">CAP IV - REVESTIMENTO </t>
  </si>
  <si>
    <t>4.1</t>
  </si>
  <si>
    <t>Fornecimento e execução de salpico e reboco de paredes interiores e exteriores com argamassa de cimento e areia ao traço de 1:4 incluíndo execução de arestas e todos os trabalhos e meios necessários para sua boa execução.</t>
  </si>
  <si>
    <t>4.2</t>
  </si>
  <si>
    <t>Pintura  interior e exterior com duas demãos de tintas de água Contrato incluindo barração.</t>
  </si>
  <si>
    <t>4.3</t>
  </si>
  <si>
    <t>Pintura  Teto com duas demãos de tintas de água Contrato incluindo barração.</t>
  </si>
  <si>
    <t>4.4</t>
  </si>
  <si>
    <t>Fornecimento e execução de betonilha afagada, ao traço 1:3:5, com 5cm de espessura sobre os pavimentos de betão, incluindo todos os trabalhos complementares.</t>
  </si>
  <si>
    <t>CAP V -INSTALAÇÃO SANITÁRIA (WC)</t>
  </si>
  <si>
    <t>5.1</t>
  </si>
  <si>
    <t xml:space="preserve">Equipamentos Sanitários incluindo </t>
  </si>
  <si>
    <t>5.1.1</t>
  </si>
  <si>
    <t>Fornecimento e assentamento de lavatórios, incluindo torneiras, prever todos os acessórios de fixação, ligações a rede de água e esgoto, assim como o respectivo ensaio de modo a funcionar nas perfeitas condições.</t>
  </si>
  <si>
    <t>un.</t>
  </si>
  <si>
    <t>5.1.2</t>
  </si>
  <si>
    <t>Fornecimento e assentamento de sanita, incluindo autoclismo, prever todos os acessórios de fixação, ligações a rede de água e esgoto, assim como o respectivo ensaio de modo a funcionar nas perfeitas condições.</t>
  </si>
  <si>
    <t>5.1.3</t>
  </si>
  <si>
    <t>Fornecimento e assentamento de azulejo, cor a definir com 30x30cm, prever assentamento com cimento-cola, após a secagem da base, cortes remates e betumes</t>
  </si>
  <si>
    <r>
      <t>m</t>
    </r>
    <r>
      <rPr>
        <vertAlign val="superscript"/>
        <sz val="11"/>
        <rFont val="Times New Roman"/>
        <family val="1"/>
      </rPr>
      <t>2</t>
    </r>
    <r>
      <rPr>
        <sz val="11"/>
        <color theme="1"/>
        <rFont val="Calibri"/>
        <family val="2"/>
        <scheme val="minor"/>
      </rPr>
      <t/>
    </r>
  </si>
  <si>
    <t>5.1.4</t>
  </si>
  <si>
    <t>Fornecimento e assentamento de mosaico antederrapante, assentamento com cimento-cola, após a secagem da base, cortes remates e betumes.</t>
  </si>
  <si>
    <t>CAP VI - ELETRICIDADE</t>
  </si>
  <si>
    <t>6.1</t>
  </si>
  <si>
    <t>Reposição e instalação de tubagens e fios em
lajes para pontos de iluminação e acesso a
rede, incluinto todos os trabalhos e acessórios complementares</t>
  </si>
  <si>
    <t>vg</t>
  </si>
  <si>
    <t xml:space="preserve">CAP VII - REDE DE ÁGUA </t>
  </si>
  <si>
    <t>7.1</t>
  </si>
  <si>
    <r>
      <t xml:space="preserve">Fornecimento e instalação de rede de água para </t>
    </r>
    <r>
      <rPr>
        <b/>
        <sz val="10"/>
        <rFont val="Calibri"/>
        <family val="2"/>
        <scheme val="minor"/>
      </rPr>
      <t>Lavatório</t>
    </r>
    <r>
      <rPr>
        <sz val="10"/>
        <rFont val="Calibri"/>
        <family val="2"/>
        <scheme val="minor"/>
      </rPr>
      <t>, incluindo os acessórios, ligações e todos os trabalhos acessórios necessários para o seu bom funcionamento.</t>
    </r>
  </si>
  <si>
    <t>7.2</t>
  </si>
  <si>
    <r>
      <t xml:space="preserve">Fornecimento e instalação de rede de água para </t>
    </r>
    <r>
      <rPr>
        <b/>
        <sz val="10"/>
        <rFont val="Calibri"/>
        <family val="2"/>
        <scheme val="minor"/>
      </rPr>
      <t>Sanita</t>
    </r>
    <r>
      <rPr>
        <sz val="10"/>
        <rFont val="Calibri"/>
        <family val="2"/>
        <scheme val="minor"/>
      </rPr>
      <t>, incluindo os acessórios, ligações e todos os trabalhos acessórios necessários para o seu bom funcionamento.</t>
    </r>
  </si>
  <si>
    <t>7.3</t>
  </si>
  <si>
    <r>
      <t xml:space="preserve">Fornecimento e instalação de rede de água para </t>
    </r>
    <r>
      <rPr>
        <b/>
        <sz val="10"/>
        <rFont val="Calibri"/>
        <family val="2"/>
        <scheme val="minor"/>
      </rPr>
      <t>Lava Loiças</t>
    </r>
    <r>
      <rPr>
        <sz val="10"/>
        <rFont val="Calibri"/>
        <family val="2"/>
        <scheme val="minor"/>
      </rPr>
      <t>, incluindo os acessórios, ligações e todos os trabalhos acessórios necessários para o seu bom funcionamento.</t>
    </r>
  </si>
  <si>
    <t>CAP VIII - COZINHA</t>
  </si>
  <si>
    <t>8.1</t>
  </si>
  <si>
    <r>
      <t xml:space="preserve">Fornecimento de bancada de cozinha (executada com tampa betão á vista e laterais em parede de 10 cm de espessura), lava loiças (1 cuba), incluindo os seus acessórios, </t>
    </r>
    <r>
      <rPr>
        <b/>
        <sz val="11"/>
        <rFont val="Times New Roman"/>
        <family val="1"/>
      </rPr>
      <t>conforme o projeto de arquitetura.</t>
    </r>
  </si>
  <si>
    <t>8.2</t>
  </si>
  <si>
    <t>CAP IX -  CARPINTARIA</t>
  </si>
  <si>
    <t>9.1</t>
  </si>
  <si>
    <t>Fornecimento e colocação de Porta (210*75),  todos os trabalhos acessórios e complementares.</t>
  </si>
  <si>
    <t>CAP X - CLARABÓIA</t>
  </si>
  <si>
    <t>10.1</t>
  </si>
  <si>
    <t xml:space="preserve">Execução de claraboia retangular de secção com dimensões equivalentes á abertura na laje / saguão. Com cobertura de telha translucida (polipropereno) e base em alvenaria de bloco, em conformidade com o projeto de arquitetura. Incluindo todos os trabalhos e acessórios necessários ao seu perfeito funcionamento e acabamento final. </t>
  </si>
  <si>
    <t>TOTAL GERAL:</t>
  </si>
  <si>
    <t>MARIA SÁBADO ODETE TAVARES ANDRADE HORTA</t>
  </si>
  <si>
    <t>Data: FEVEREIRO DE 2023</t>
  </si>
  <si>
    <r>
      <t xml:space="preserve">Demolição da </t>
    </r>
    <r>
      <rPr>
        <b/>
        <sz val="10"/>
        <rFont val="Times New Roman"/>
        <family val="1"/>
      </rPr>
      <t>laje em betão armado</t>
    </r>
    <r>
      <rPr>
        <sz val="10"/>
        <rFont val="Times New Roman"/>
        <family val="1"/>
      </rPr>
      <t>, incluindo escoramento da estrutura existente, a remoção e transporte de entulho para o vazadouro municipal.</t>
    </r>
  </si>
  <si>
    <t>Fornecimento e assentamento de base de duche, prever todos os acessórios de fixação, ligações a rede de água e esgoto, assim como o respectivo ensaio de modo a funcionar nas perfeitas condições.</t>
  </si>
  <si>
    <t>5.1.5</t>
  </si>
  <si>
    <t>Fornecimento e instalação de rede de água, incluindo os acessórios, ligações e todos os trabalhos acessórios necessários para o seu bom funcionamento.</t>
  </si>
  <si>
    <t>CAP VIII - REDE DE ESGOTO</t>
  </si>
  <si>
    <t>Fornecimento e instalação de rede de esgotos , incluindo tubagens PVC, abertura e tapamento de roços, acessórios, ligações e todos os trabalhos acessórios necessários para o seu bom funcionamento.</t>
  </si>
  <si>
    <t>CAP IX - COZINHA</t>
  </si>
  <si>
    <t>9.2</t>
  </si>
  <si>
    <t xml:space="preserve">CAP X - CAIXILHARIA (Reabilitação) </t>
  </si>
  <si>
    <t>Reparação de caixilharia exterior de madeira, através da correção de desenquadramentos e substituição de ferragens deterioradas. Incluindo reposição de revestimentos e pinturas.</t>
  </si>
  <si>
    <t>CAP XI - ENVOLVENTE</t>
  </si>
  <si>
    <t>11.1</t>
  </si>
  <si>
    <t>Pavimento em betonilha. A ser aplicado na extensão das fachadas adjacentes á via pública com àrea equivalente a 1,00 metros vezes o comprimento da fachada.</t>
  </si>
  <si>
    <t>11.2</t>
  </si>
  <si>
    <t>Fornecimento e plantação de árvore menor de 14 cm de perímetro de tronco a 1 m do solo, com meios manuais, em terreno arenoso, em cova de 60x60x60 cm.</t>
  </si>
  <si>
    <t>un</t>
  </si>
  <si>
    <t>HIRONDINA GAMBOA DE AGUIAR</t>
  </si>
  <si>
    <r>
      <t xml:space="preserve">Demolição de laje em </t>
    </r>
    <r>
      <rPr>
        <b/>
        <sz val="10"/>
        <rFont val="Calibri"/>
        <family val="2"/>
        <scheme val="minor"/>
      </rPr>
      <t>betão armado</t>
    </r>
    <r>
      <rPr>
        <sz val="10"/>
        <rFont val="Calibri"/>
        <family val="2"/>
        <scheme val="minor"/>
      </rPr>
      <t>, incluindo escoramento da estrutura existente, a remoção e transporte de entulho para o vazadouro municipal.</t>
    </r>
  </si>
  <si>
    <r>
      <t>m</t>
    </r>
    <r>
      <rPr>
        <vertAlign val="superscript"/>
        <sz val="10"/>
        <rFont val="Calibri"/>
        <family val="2"/>
        <scheme val="minor"/>
      </rPr>
      <t>3</t>
    </r>
  </si>
  <si>
    <t>1.2</t>
  </si>
  <si>
    <r>
      <t>Demolição de</t>
    </r>
    <r>
      <rPr>
        <b/>
        <sz val="10"/>
        <rFont val="Calibri"/>
        <family val="2"/>
        <scheme val="minor"/>
      </rPr>
      <t xml:space="preserve"> parede de bloco</t>
    </r>
    <r>
      <rPr>
        <sz val="10"/>
        <rFont val="Calibri"/>
        <family val="2"/>
        <scheme val="minor"/>
      </rPr>
      <t xml:space="preserve"> existente, incluindo escoramento da estrutura existente, a remoção e transporte de entulho para o vazadouro municipal.</t>
    </r>
  </si>
  <si>
    <r>
      <t>m</t>
    </r>
    <r>
      <rPr>
        <vertAlign val="superscript"/>
        <sz val="10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/>
    </r>
  </si>
  <si>
    <t>Reestabelecimento do Pé-direito após demolição de elementos estruturais mediante a execução de alvenarias em blocos (20x20x40 cm) de betão, assentes com argamassa de cimento e areia ao traço 1:4, incluindo todos os trabalhos e acessórios complementares.</t>
  </si>
  <si>
    <r>
      <t xml:space="preserve">Fornecimento e execução de salpico e </t>
    </r>
    <r>
      <rPr>
        <b/>
        <sz val="10"/>
        <rFont val="Calibri"/>
        <family val="2"/>
        <scheme val="minor"/>
      </rPr>
      <t>reboco de paredes interiores</t>
    </r>
    <r>
      <rPr>
        <sz val="10"/>
        <rFont val="Calibri"/>
        <family val="2"/>
        <scheme val="minor"/>
      </rPr>
      <t xml:space="preserve"> com argamassa de cimento e areia ao traço de 1:4 incluíndo execução de arestas e todos os trabalhos e meios necessários para sua boa execução.</t>
    </r>
  </si>
  <si>
    <r>
      <rPr>
        <b/>
        <sz val="10"/>
        <rFont val="Calibri"/>
        <family val="2"/>
        <scheme val="minor"/>
      </rPr>
      <t>Pintura exterior</t>
    </r>
    <r>
      <rPr>
        <sz val="10"/>
        <rFont val="Calibri"/>
        <family val="2"/>
        <scheme val="minor"/>
      </rPr>
      <t xml:space="preserve"> com duas demãos de tintas de água Contrato incluindo barração.</t>
    </r>
  </si>
  <si>
    <t>CAP V - ELETRICIDADE</t>
  </si>
  <si>
    <t>Reposição e instalação de tubagens e fios em
lajes para pontos de iluminação e acesso a
rede, incluindo todos os trabalhos e acessórios complementares</t>
  </si>
  <si>
    <t>CAP VI - REABILITAÇÃO DE VÃOS</t>
  </si>
  <si>
    <t>Reparação de Porta (0.96*2.10), através da correção de desenquadramentos e substituição de ferragens deterioradas. Incluindo reposição de revestimentos e pinturas.</t>
  </si>
  <si>
    <t>6.2</t>
  </si>
  <si>
    <t>Reparação de Porta (0.90*2.10), através da correção de desenquadramentos e substituição de ferragens deterioradas. Incluindo reposição de revestimentos e pinturas.</t>
  </si>
  <si>
    <t>6.3</t>
  </si>
  <si>
    <t>6.4</t>
  </si>
  <si>
    <t>Reparação de Janela (0.82*1.0), através da correção de desenquadramentos e substituição de ferragens deterioradas. Incluindo reposição de revestimentos e pinturas.</t>
  </si>
  <si>
    <t>6.5</t>
  </si>
  <si>
    <t>Reparação de Janela (1.07*1.0), através da correção de desenquadramentos e substituição de ferragens deterioradas. Incluindo reposição de revestimentos e pinturas.</t>
  </si>
  <si>
    <t>CAP VII - ENVOLVENTE</t>
  </si>
  <si>
    <t>MARIA MAFALDA CORREIA LOPES</t>
  </si>
  <si>
    <t xml:space="preserve">CAP II - ALVENARIA </t>
  </si>
  <si>
    <t xml:space="preserve">CAP III - REVESTIMENTO </t>
  </si>
  <si>
    <r>
      <t xml:space="preserve">Fornecimento e execução de salpico e </t>
    </r>
    <r>
      <rPr>
        <b/>
        <sz val="10"/>
        <rFont val="Calibri"/>
        <family val="2"/>
        <scheme val="minor"/>
      </rPr>
      <t>reboco de paredes exteriores</t>
    </r>
    <r>
      <rPr>
        <sz val="10"/>
        <rFont val="Calibri"/>
        <family val="2"/>
        <scheme val="minor"/>
      </rPr>
      <t xml:space="preserve"> com argamassa de cimento e areia ao traço de 1:4 incluíndo execução de arestas e todos os trabalhos e meios necessários para sua boa execução.</t>
    </r>
  </si>
  <si>
    <t>3.2</t>
  </si>
  <si>
    <t>3.3</t>
  </si>
  <si>
    <t>3.4</t>
  </si>
  <si>
    <r>
      <rPr>
        <b/>
        <sz val="10"/>
        <rFont val="Calibri"/>
        <family val="2"/>
        <scheme val="minor"/>
      </rPr>
      <t>Pintura interior</t>
    </r>
    <r>
      <rPr>
        <sz val="10"/>
        <rFont val="Calibri"/>
        <family val="2"/>
        <scheme val="minor"/>
      </rPr>
      <t xml:space="preserve"> com duas demãos de tintas de água Contrato incluindo barração.</t>
    </r>
  </si>
  <si>
    <t>3.5</t>
  </si>
  <si>
    <t>CAP IV - INSTALAÇÃO SANITÁRIA (WC)</t>
  </si>
  <si>
    <t>Revestimentos</t>
  </si>
  <si>
    <t>4.1.1</t>
  </si>
  <si>
    <t>6.1.2</t>
  </si>
  <si>
    <t>6.1.3</t>
  </si>
  <si>
    <t>6.1.4</t>
  </si>
  <si>
    <t>4.2.1</t>
  </si>
  <si>
    <t xml:space="preserve">un </t>
  </si>
  <si>
    <t>4.2.2</t>
  </si>
  <si>
    <t>Fornecimento e assentamento de base de duche de pavimento, prever todos os acessórios de fixação, ligações a rede de água e esgoto, assim como o respectivo ensaio de modo a funcionar nas perfeitas condições.</t>
  </si>
  <si>
    <t>CAP VI - REDE DE ÁGUA</t>
  </si>
  <si>
    <r>
      <t xml:space="preserve">Fornecimento e instalação de rede de água para </t>
    </r>
    <r>
      <rPr>
        <b/>
        <sz val="10"/>
        <rFont val="Calibri"/>
        <family val="2"/>
        <scheme val="minor"/>
      </rPr>
      <t xml:space="preserve">Lavatório e Duche </t>
    </r>
    <r>
      <rPr>
        <sz val="10"/>
        <rFont val="Calibri"/>
        <family val="2"/>
        <scheme val="minor"/>
      </rPr>
      <t>incluindo os acessórios, ligações e todos os trabalhos acessórios necessários para o seu bom funcionamento.</t>
    </r>
  </si>
  <si>
    <t>CAP VII - REDE DE ESGOTO</t>
  </si>
  <si>
    <r>
      <t xml:space="preserve">Fornecimento e instalação de rede de esgoto para </t>
    </r>
    <r>
      <rPr>
        <b/>
        <sz val="10"/>
        <rFont val="Calibri"/>
        <family val="2"/>
        <scheme val="minor"/>
      </rPr>
      <t>Lavatório e Duche</t>
    </r>
    <r>
      <rPr>
        <sz val="10"/>
        <rFont val="Calibri"/>
        <family val="2"/>
        <scheme val="minor"/>
      </rPr>
      <t xml:space="preserve"> incluindo tubagens de PVC, abertura e tapamento de roços, acessórios, ligações e todos os trabalhos acessórios necessários para o seu bom funcionamento.</t>
    </r>
  </si>
  <si>
    <r>
      <t xml:space="preserve">Fornecimento e instalação de rede de esgoto para </t>
    </r>
    <r>
      <rPr>
        <b/>
        <sz val="10"/>
        <rFont val="Calibri"/>
        <family val="2"/>
        <scheme val="minor"/>
      </rPr>
      <t>Lava Loiças</t>
    </r>
    <r>
      <rPr>
        <sz val="10"/>
        <rFont val="Calibri"/>
        <family val="2"/>
        <scheme val="minor"/>
      </rPr>
      <t>, incluindo tubagens de PVC, abertura e tapamento de roços, acessórios, ligações e todos os trabalhos acessórios necessários para o seu bom funcionamento.</t>
    </r>
  </si>
  <si>
    <r>
      <t xml:space="preserve">Fornecimento de bancada de cozinha (executada com tampa betão á vista e laterais em parede de 10 cm de espessura), lava loiças (1 cuba), incluindo os seus acessórios, </t>
    </r>
    <r>
      <rPr>
        <b/>
        <sz val="10"/>
        <rFont val="Calibri"/>
        <family val="2"/>
        <scheme val="minor"/>
      </rPr>
      <t>conforme o projeto de arquitetura.</t>
    </r>
  </si>
  <si>
    <t>CAP IX - ENVOLVENTE</t>
  </si>
  <si>
    <t>DOMINGAS MENDES MORENO</t>
  </si>
  <si>
    <t>CAP II - TERRAPLENAGEM / ESCAVAÇÃO</t>
  </si>
  <si>
    <t>Escavação de terreno de qualquer natureza para execução de fundação 0.80 de largura, incluindo remoção e transporte de material sobrante</t>
  </si>
  <si>
    <t>CAP III - ESTRUTURAS DE BETÃO</t>
  </si>
  <si>
    <t>Fornecimento e colocação de Betão de limpeza, incluindo todos os trabalhos e meios necessários para a sua boa execução.</t>
  </si>
  <si>
    <t>3.2.1</t>
  </si>
  <si>
    <t>Sapatas</t>
  </si>
  <si>
    <t>3.2.2</t>
  </si>
  <si>
    <t>Pilares</t>
  </si>
  <si>
    <t>3.2.3</t>
  </si>
  <si>
    <t>3.2.4</t>
  </si>
  <si>
    <t xml:space="preserve">CAP IV - ALVENARIA </t>
  </si>
  <si>
    <t xml:space="preserve">CAP V - REVESTIMENTO </t>
  </si>
  <si>
    <t>CAP VI - INSTALAÇÃO SANITÁRIA (WC)</t>
  </si>
  <si>
    <t>6.1.1</t>
  </si>
  <si>
    <t>6.2.1</t>
  </si>
  <si>
    <t>6.2.2</t>
  </si>
  <si>
    <t>6.2.3</t>
  </si>
  <si>
    <t>CAP VII - ELETRICIDADE</t>
  </si>
  <si>
    <t>CAP VIII - REDE DE ÁGUA</t>
  </si>
  <si>
    <r>
      <t xml:space="preserve">Fornecimento e instalação de rede de água para </t>
    </r>
    <r>
      <rPr>
        <b/>
        <sz val="10"/>
        <rFont val="Calibri"/>
        <family val="2"/>
        <scheme val="minor"/>
      </rPr>
      <t>Lavatório, Sanita e Duche</t>
    </r>
    <r>
      <rPr>
        <sz val="10"/>
        <rFont val="Calibri"/>
        <family val="2"/>
        <scheme val="minor"/>
      </rPr>
      <t>, incluindo os acessórios, ligações e todos os trabalhos acessórios necessários para o seu bom funcionamento.</t>
    </r>
  </si>
  <si>
    <t>CAP IX - REDE DE ESGOTO</t>
  </si>
  <si>
    <r>
      <t xml:space="preserve">Fornecimento e instalação de rede de esgoto para </t>
    </r>
    <r>
      <rPr>
        <b/>
        <sz val="10"/>
        <rFont val="Calibri"/>
        <family val="2"/>
        <scheme val="minor"/>
      </rPr>
      <t>Sanita</t>
    </r>
    <r>
      <rPr>
        <sz val="10"/>
        <rFont val="Calibri"/>
        <family val="2"/>
        <scheme val="minor"/>
      </rPr>
      <t>, incluindo tubagens de PVC, abertura e tapamento de roços, acessórios, ligações e todos os trabalhos acessórios necessários para o seu bom funcionamento.</t>
    </r>
  </si>
  <si>
    <t>9.3</t>
  </si>
  <si>
    <t>9.4</t>
  </si>
  <si>
    <r>
      <t xml:space="preserve">Execução da </t>
    </r>
    <r>
      <rPr>
        <b/>
        <sz val="10"/>
        <rFont val="Calibri"/>
        <family val="2"/>
        <scheme val="minor"/>
      </rPr>
      <t xml:space="preserve">Fossa séptica </t>
    </r>
    <r>
      <rPr>
        <sz val="10"/>
        <rFont val="Calibri"/>
        <family val="2"/>
        <scheme val="minor"/>
      </rPr>
      <t>(incluindo Poço Absorvente) em betão ciclópico e tampa em betão armado incluindo todos os trabalhos acessórios e complementares.</t>
    </r>
  </si>
  <si>
    <t>CAP X - COZINHA</t>
  </si>
  <si>
    <t>10.2</t>
  </si>
  <si>
    <t>CAP XI - REABILITAÇÃO DE VÃOS</t>
  </si>
  <si>
    <t>Reparação de Porta (0.72*2.10), através da correção de desenquadramentos e substituição de ferragens deterioradas. Incluindo reposição de revestimentos e pinturas.</t>
  </si>
  <si>
    <t>Reparação de Porta (0.80*2.10), através da correção de desenquadramentos e substituição de ferragens deterioradas. Incluindo reposição de revestimentos e pinturas.</t>
  </si>
  <si>
    <t>11.3</t>
  </si>
  <si>
    <t>Reparação de Porta (0.95*2.50), através da correção de desenquadramentos e substituição de ferragens deterioradas. Incluindo reposição de revestimentos e pinturas.</t>
  </si>
  <si>
    <t>11.4</t>
  </si>
  <si>
    <t>Reparação de Janela (1.67*1.0), através da correção de desenquadramentos e substituição de ferragens deterioradas. Incluindo reposição de revestimentos e pinturas.</t>
  </si>
  <si>
    <t>11.5</t>
  </si>
  <si>
    <t>Reparação de Janela (0.4*1.0), através da correção de desenquadramentos e substituição de ferragens deterioradas. Incluindo reposição de revestimentos e pinturas.</t>
  </si>
  <si>
    <t>CAP XII - CARPINTARIA</t>
  </si>
  <si>
    <t>12.1</t>
  </si>
  <si>
    <t xml:space="preserve">Fornecimento e colocação de Porta (0.78*2.10) e todos os trabalhos acessórios necessários para o seu bom funcionamento. </t>
  </si>
  <si>
    <t>12.2</t>
  </si>
  <si>
    <t xml:space="preserve">Fornecimento e colocação de Porta (0.84*2.10) e todos os trabalhos acessórios necessários para o seu bom funcionamento. </t>
  </si>
  <si>
    <t>12.3</t>
  </si>
  <si>
    <t xml:space="preserve">Fornecimento e colocação de Janela (1.0*1.0) e todos os trabalhos acessórios necessários para o seu bom funcionamento. </t>
  </si>
  <si>
    <t>12.4</t>
  </si>
  <si>
    <t xml:space="preserve">Fornecimento e colocação de Janela (1.2*1.0) e todos os trabalhos acessórios necessários para o seu bom funcionamento. </t>
  </si>
  <si>
    <t>CAP XIII - ENVOLVENTE</t>
  </si>
  <si>
    <t>13.1</t>
  </si>
  <si>
    <t>Pavimento em betonilha. A ser aplicado na extensão das fachadas adjacentes á via pública com àrea equivalente a 1 metros vezes o comprimento da fachada.</t>
  </si>
  <si>
    <t>13.2</t>
  </si>
  <si>
    <t>MARIA ELIZABETH SOARES</t>
  </si>
  <si>
    <r>
      <t xml:space="preserve">Remoção de cobertura em </t>
    </r>
    <r>
      <rPr>
        <b/>
        <sz val="10"/>
        <rFont val="Calibri"/>
        <family val="2"/>
        <scheme val="minor"/>
      </rPr>
      <t xml:space="preserve">material precário </t>
    </r>
    <r>
      <rPr>
        <sz val="10"/>
        <rFont val="Calibri"/>
        <family val="2"/>
        <scheme val="minor"/>
      </rPr>
      <t>incluindo escoramento da estrutura existente, a remoção e transporte de entulho para o vazadouro municipal.</t>
    </r>
  </si>
  <si>
    <t>1.3</t>
  </si>
  <si>
    <r>
      <t xml:space="preserve">Remoção de cobertura em </t>
    </r>
    <r>
      <rPr>
        <b/>
        <sz val="10"/>
        <rFont val="Calibri"/>
        <family val="2"/>
        <scheme val="minor"/>
      </rPr>
      <t xml:space="preserve">chapa metálica </t>
    </r>
    <r>
      <rPr>
        <sz val="10"/>
        <rFont val="Calibri"/>
        <family val="2"/>
        <scheme val="minor"/>
      </rPr>
      <t>incluindo escoramento da estrutura existente, a remoção e transporte de entulho para o vazadouro municipal.</t>
    </r>
  </si>
  <si>
    <t>5.2</t>
  </si>
  <si>
    <t>5.3</t>
  </si>
  <si>
    <t>5.4</t>
  </si>
  <si>
    <t>5.5</t>
  </si>
  <si>
    <t>5.6</t>
  </si>
  <si>
    <t>Fornecimento e execução de betonilha afagada, ao traço 1:3:5, com 5cm de espessura sobre os pavimentos de betão e todos os trabalhos complementares.</t>
  </si>
  <si>
    <t>CAP VI -INSTALAÇÃO SANITÁRIA (WC)</t>
  </si>
  <si>
    <r>
      <t xml:space="preserve">Fornecimento e instalação de rede de água para </t>
    </r>
    <r>
      <rPr>
        <b/>
        <sz val="10"/>
        <rFont val="Calibri"/>
        <family val="2"/>
        <scheme val="minor"/>
      </rPr>
      <t>Lavatório</t>
    </r>
    <r>
      <rPr>
        <sz val="10"/>
        <rFont val="Calibri"/>
        <family val="2"/>
        <scheme val="minor"/>
      </rPr>
      <t xml:space="preserve">, </t>
    </r>
    <r>
      <rPr>
        <b/>
        <sz val="10"/>
        <rFont val="Calibri"/>
        <family val="2"/>
        <scheme val="minor"/>
      </rPr>
      <t>Sanita e Duche</t>
    </r>
    <r>
      <rPr>
        <sz val="10"/>
        <rFont val="Calibri"/>
        <family val="2"/>
        <scheme val="minor"/>
      </rPr>
      <t xml:space="preserve"> incluindo os acessórios, ligações e todos os trabalhos acessórios necessários para o seu bom funcionamento.</t>
    </r>
  </si>
  <si>
    <t>Execução da fossa séptica (incluindo Poço Absorvente) em betão ciclópico e tampa em betão armado incluindo todos os trabalhos acessórios e complementares.</t>
  </si>
  <si>
    <t>Reparação de Porta (1.0*2.10), através da correção de desenquadramentos e substituição de ferragens deterioradas. Incluindo reposição de revestimentos e pinturas.</t>
  </si>
  <si>
    <t>Reparação de Porta (0.82*2.10), através da correção de desenquadramentos e substituição de ferragens deterioradas. Incluindo reposição de revestimentos e pinturas.</t>
  </si>
  <si>
    <t>Reparação de Janela (1.21*1.0), através da correção de desenquadramentos e substituição de ferragens deterioradas. Incluindo reposição de revestimentos e pinturas.</t>
  </si>
  <si>
    <t xml:space="preserve">Fornecimento e colocação de Porta (0.77*2.10) e todos os trabalhos acessórios necessários para o seu bom funcionamento. </t>
  </si>
  <si>
    <t xml:space="preserve">Fornecimento e colocação de Porta (0.80*2.10) e todos os trabalhos acessórios necessários para o seu bom funcionamento. </t>
  </si>
  <si>
    <t xml:space="preserve">Fornecimento e colocação de Janela (0.6*0.6) e todos os trabalhos acessórios necessários para o seu bom funcionamento. </t>
  </si>
  <si>
    <t>MARIA EDUARDA PINA RIBEIRO</t>
  </si>
  <si>
    <r>
      <t xml:space="preserve">Remoção de cobertura em </t>
    </r>
    <r>
      <rPr>
        <b/>
        <sz val="10"/>
        <rFont val="Calibri"/>
        <family val="2"/>
        <scheme val="minor"/>
      </rPr>
      <t>chapa metálica</t>
    </r>
    <r>
      <rPr>
        <sz val="10"/>
        <rFont val="Calibri"/>
        <family val="2"/>
        <scheme val="minor"/>
      </rPr>
      <t xml:space="preserve"> incluindo escoramento da estrutura existente, a remoção e transporte de entulho para o vazadouro municipal. </t>
    </r>
  </si>
  <si>
    <t>Execução de alvenarias em blocos (20x15x40 cm)  de betão, assentes com argamassa de cimento e areia ao traço 1:4, incluindo todos os trabalhos e acessórios complementares, com as dimensões:</t>
  </si>
  <si>
    <t>Execução de alvenarias (Fileira bloco) em blocos (20x20x40 cm)  de betão na cobertura, assentes com argamassa de cimento e areia ao traço 1:4, incluindo todos os trabalhos e acessórios complementares, com as dimensões:</t>
  </si>
  <si>
    <t>Pintura  exterior (fachada frontal) com duas demãos de tintas de água Contrato incluindo barração.</t>
  </si>
  <si>
    <t>CAP V - INSTALAÇÃO SANITÁRIA (WC)</t>
  </si>
  <si>
    <t>Betonilha de regularização com argamassa de cimento e areia com 0,03m de espessura, para revestir com mosaico, nas instalações sanitarias.</t>
  </si>
  <si>
    <t>5.2.1</t>
  </si>
  <si>
    <t>5.2.2</t>
  </si>
  <si>
    <t>5.2.3</t>
  </si>
  <si>
    <t>Reposição e instalação de tubagens e fios em
lajes para pontos de iluminação e acesso a
rede, incluindo todos os trabalhos e acessórios complementares.</t>
  </si>
  <si>
    <t xml:space="preserve">CAP VIII - REDE DE ÁGUA </t>
  </si>
  <si>
    <t>Fornecimento e instalação de rede de água, incluindo os acessórios, ligações e todos os trabalhos acessórios necessários para um bom funcionamento</t>
  </si>
  <si>
    <t xml:space="preserve">Fornecimento e instalação de rede de esgoto, incluindo tubagens PVC, abertura e tapamentos de roços, acessórios, ligações e todos os trabalhos acessórios necessários para o seu bom funcionamento. </t>
  </si>
  <si>
    <t>Fornecimento de bancada de cozinha (executada com tampa betão á vista e laterais em parede de 10 cm de espessura), lava loiças (1 cuba), incluindo os seus acessórios, conforme o projeto de arquitetura.</t>
  </si>
  <si>
    <t xml:space="preserve">CAP XI - CAIXILHARIA (Reabilitação) </t>
  </si>
  <si>
    <t>Reparação de portas (0.9*2.1) do interior, através da correção de desenquadramentos e substituição de ferragens deterioradas. Incluindo reposição de revestimentos e pinturas.</t>
  </si>
  <si>
    <t>Reparação de portas (0.85*2.1) do interior, através da correção de desenquadramentos e substituição de ferragens deterioradas. Incluindo reposição de revestimentos e pinturas.</t>
  </si>
  <si>
    <t>Reparação de portas (0.83*2.1) do interior, através da correção de desenquadramentos e substituição de ferragens deterioradas. Incluindo reposição de revestimentos e pinturas.</t>
  </si>
  <si>
    <t>Reparação de portas (0.76*2.1) do interior, através da correção de desenquadramentos e substituição de ferragens deterioradas. Incluindo reposição de revestimentos e pinturas.</t>
  </si>
  <si>
    <t>Reparação de janelas (1.4*1.05) do exterior, através da correção de desenquadramentos e substituição de ferragens deterioradas. Incluindo reposição de revestimentos e pinturas.</t>
  </si>
  <si>
    <t>11.6</t>
  </si>
  <si>
    <t>Reparação de janelas (1.32*1.05) do exterior, através da correção de desenquadramentos e substituição de ferragens deterioradas. Incluindo reposição de revestimentos e pinturas.</t>
  </si>
  <si>
    <t>Fornecimento e colocação de Porta (0.77*2.1), incluindo todos os trabalhos acessórios e complementares.</t>
  </si>
  <si>
    <t>Fornecimento e colocação de janela (0.43*0.6), incluindo todos os trabalhos acessórios e complementares.</t>
  </si>
  <si>
    <t>CAP 0 - ESTALEIRO</t>
  </si>
  <si>
    <r>
      <t xml:space="preserve">Implantação das medidas previstas no Plano de Gestão Ambietal e Social (PGAS) patenteado e conforme PSS da obra, incluído a fixação da placa de obra. Tudo de modo a salvaguardar as condições de higiene, salubridade e segurança no trabalho, cumprindo o previsto nos regulamentos e normas de segurança no trabalho e nos Cadernos de Encargos. Sinalização de cada obra, com paneis , fitas sinalizadoras ou material similar de forma a garantir a máxima segurança na obra.                                                                                                                                                                                   </t>
    </r>
    <r>
      <rPr>
        <b/>
        <sz val="10"/>
        <rFont val="Calibri"/>
        <family val="2"/>
        <scheme val="minor"/>
      </rPr>
      <t>NOTA:</t>
    </r>
    <r>
      <rPr>
        <sz val="10"/>
        <rFont val="Calibri"/>
        <family val="2"/>
        <scheme val="minor"/>
      </rPr>
      <t xml:space="preserve"> O estaleiro da obra é considerado o estaleiro central do Concorrente/Firma.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</si>
</sst>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​&quot;_-;\-* #,##0.00\ &quot;​&quot;_-;_-* &quot;-&quot;??\ &quot;​&quot;_-;_-@_-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  <charset val="1"/>
    </font>
    <font>
      <sz val="8"/>
      <name val="Arial Narrow"/>
      <family val="2"/>
    </font>
    <font>
      <b/>
      <sz val="10"/>
      <name val="Arial"/>
      <family val="2"/>
      <charset val="1"/>
    </font>
    <font>
      <b/>
      <u/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vertAlign val="superscript"/>
      <sz val="10"/>
      <name val="Times New Roman"/>
      <family val="1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sz val="11"/>
      <name val="Times New Roman"/>
      <family val="1"/>
    </font>
    <font>
      <vertAlign val="superscript"/>
      <sz val="10"/>
      <name val="Calibri"/>
      <family val="2"/>
      <scheme val="minor"/>
    </font>
    <font>
      <b/>
      <sz val="10"/>
      <name val="Calibri "/>
    </font>
    <font>
      <sz val="8"/>
      <name val="Calibri "/>
    </font>
    <font>
      <sz val="10"/>
      <name val="Calibri "/>
    </font>
    <font>
      <sz val="11"/>
      <color theme="1"/>
      <name val="Calibri 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DDDD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28">
    <xf numFmtId="0" fontId="0" fillId="0" borderId="0" xfId="0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0" xfId="0" applyFont="1"/>
    <xf numFmtId="0" fontId="5" fillId="0" borderId="0" xfId="0" applyFont="1"/>
    <xf numFmtId="164" fontId="4" fillId="0" borderId="0" xfId="0" applyNumberFormat="1" applyFont="1"/>
    <xf numFmtId="0" fontId="7" fillId="0" borderId="0" xfId="0" applyFont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/>
    <xf numFmtId="0" fontId="7" fillId="0" borderId="0" xfId="0" applyFont="1"/>
    <xf numFmtId="164" fontId="7" fillId="0" borderId="0" xfId="0" applyNumberFormat="1" applyFont="1" applyAlignment="1">
      <alignment vertical="center"/>
    </xf>
    <xf numFmtId="164" fontId="7" fillId="0" borderId="0" xfId="0" applyNumberFormat="1" applyFont="1"/>
    <xf numFmtId="164" fontId="7" fillId="2" borderId="6" xfId="0" applyNumberFormat="1" applyFont="1" applyFill="1" applyBorder="1" applyAlignment="1">
      <alignment horizontal="right"/>
    </xf>
    <xf numFmtId="0" fontId="7" fillId="2" borderId="6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 vertical="center"/>
    </xf>
    <xf numFmtId="4" fontId="7" fillId="4" borderId="14" xfId="0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164" fontId="7" fillId="0" borderId="16" xfId="0" applyNumberFormat="1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49" fontId="8" fillId="0" borderId="15" xfId="1" applyNumberFormat="1" applyFont="1" applyBorder="1" applyAlignment="1">
      <alignment horizontal="center" vertical="center"/>
    </xf>
    <xf numFmtId="0" fontId="8" fillId="0" borderId="16" xfId="1" applyFont="1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/>
    </xf>
    <xf numFmtId="4" fontId="8" fillId="0" borderId="16" xfId="1" applyNumberFormat="1" applyFont="1" applyBorder="1" applyAlignment="1">
      <alignment horizontal="center" vertical="center"/>
    </xf>
    <xf numFmtId="164" fontId="8" fillId="0" borderId="16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vertical="center"/>
    </xf>
    <xf numFmtId="49" fontId="8" fillId="0" borderId="15" xfId="1" applyNumberFormat="1" applyFont="1" applyBorder="1" applyAlignment="1">
      <alignment vertical="center"/>
    </xf>
    <xf numFmtId="49" fontId="8" fillId="0" borderId="16" xfId="1" applyNumberFormat="1" applyFont="1" applyBorder="1" applyAlignment="1">
      <alignment vertical="center"/>
    </xf>
    <xf numFmtId="164" fontId="8" fillId="0" borderId="16" xfId="1" applyNumberFormat="1" applyFont="1" applyBorder="1" applyAlignment="1">
      <alignment vertical="center"/>
    </xf>
    <xf numFmtId="49" fontId="8" fillId="0" borderId="17" xfId="1" applyNumberFormat="1" applyFont="1" applyBorder="1" applyAlignment="1">
      <alignment vertical="center"/>
    </xf>
    <xf numFmtId="0" fontId="8" fillId="0" borderId="16" xfId="0" applyFont="1" applyBorder="1" applyAlignment="1">
      <alignment vertical="center" wrapText="1"/>
    </xf>
    <xf numFmtId="4" fontId="8" fillId="0" borderId="16" xfId="0" applyNumberFormat="1" applyFont="1" applyBorder="1" applyAlignment="1">
      <alignment horizontal="center" vertical="center"/>
    </xf>
    <xf numFmtId="0" fontId="8" fillId="0" borderId="17" xfId="0" applyFont="1" applyBorder="1"/>
    <xf numFmtId="49" fontId="7" fillId="0" borderId="16" xfId="1" applyNumberFormat="1" applyFont="1" applyBorder="1" applyAlignment="1">
      <alignment vertical="center"/>
    </xf>
    <xf numFmtId="164" fontId="7" fillId="0" borderId="16" xfId="1" applyNumberFormat="1" applyFont="1" applyBorder="1" applyAlignment="1">
      <alignment vertical="center"/>
    </xf>
    <xf numFmtId="49" fontId="7" fillId="0" borderId="17" xfId="1" applyNumberFormat="1" applyFont="1" applyBorder="1" applyAlignment="1">
      <alignment vertical="center"/>
    </xf>
    <xf numFmtId="49" fontId="8" fillId="0" borderId="15" xfId="0" applyNumberFormat="1" applyFont="1" applyBorder="1" applyAlignment="1">
      <alignment horizontal="center" vertical="center"/>
    </xf>
    <xf numFmtId="49" fontId="8" fillId="0" borderId="16" xfId="0" applyNumberFormat="1" applyFont="1" applyBorder="1" applyAlignment="1">
      <alignment horizontal="left" vertical="center" wrapText="1"/>
    </xf>
    <xf numFmtId="49" fontId="8" fillId="0" borderId="18" xfId="1" applyNumberFormat="1" applyFont="1" applyBorder="1" applyAlignment="1">
      <alignment vertical="center"/>
    </xf>
    <xf numFmtId="49" fontId="7" fillId="0" borderId="19" xfId="1" applyNumberFormat="1" applyFont="1" applyBorder="1" applyAlignment="1">
      <alignment vertical="center"/>
    </xf>
    <xf numFmtId="49" fontId="7" fillId="0" borderId="20" xfId="1" applyNumberFormat="1" applyFont="1" applyBorder="1" applyAlignment="1">
      <alignment vertical="center"/>
    </xf>
    <xf numFmtId="164" fontId="7" fillId="0" borderId="20" xfId="1" applyNumberFormat="1" applyFont="1" applyBorder="1" applyAlignment="1">
      <alignment vertical="center"/>
    </xf>
    <xf numFmtId="164" fontId="7" fillId="0" borderId="21" xfId="1" applyNumberFormat="1" applyFont="1" applyBorder="1" applyAlignment="1">
      <alignment vertical="center"/>
    </xf>
    <xf numFmtId="49" fontId="7" fillId="0" borderId="22" xfId="1" applyNumberFormat="1" applyFont="1" applyBorder="1" applyAlignment="1">
      <alignment vertical="center"/>
    </xf>
    <xf numFmtId="49" fontId="8" fillId="0" borderId="19" xfId="0" applyNumberFormat="1" applyFont="1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4" fontId="8" fillId="0" borderId="20" xfId="1" applyNumberFormat="1" applyFont="1" applyBorder="1" applyAlignment="1">
      <alignment horizontal="center" vertical="center"/>
    </xf>
    <xf numFmtId="164" fontId="8" fillId="0" borderId="20" xfId="0" applyNumberFormat="1" applyFont="1" applyBorder="1" applyAlignment="1">
      <alignment horizontal="center" vertical="center"/>
    </xf>
    <xf numFmtId="164" fontId="8" fillId="0" borderId="21" xfId="0" applyNumberFormat="1" applyFont="1" applyBorder="1" applyAlignment="1">
      <alignment horizontal="center" vertical="center"/>
    </xf>
    <xf numFmtId="0" fontId="8" fillId="0" borderId="22" xfId="0" applyFont="1" applyBorder="1"/>
    <xf numFmtId="0" fontId="8" fillId="0" borderId="20" xfId="0" applyFont="1" applyBorder="1" applyAlignment="1">
      <alignment horizontal="center" vertical="center" wrapText="1"/>
    </xf>
    <xf numFmtId="4" fontId="7" fillId="0" borderId="14" xfId="0" applyNumberFormat="1" applyFont="1" applyBorder="1" applyAlignment="1">
      <alignment horizontal="center" vertical="center"/>
    </xf>
    <xf numFmtId="49" fontId="7" fillId="2" borderId="23" xfId="0" applyNumberFormat="1" applyFont="1" applyFill="1" applyBorder="1" applyAlignment="1">
      <alignment horizontal="center" vertical="center"/>
    </xf>
    <xf numFmtId="49" fontId="7" fillId="2" borderId="27" xfId="0" applyNumberFormat="1" applyFont="1" applyFill="1" applyBorder="1" applyAlignment="1">
      <alignment horizontal="center" vertical="center"/>
    </xf>
    <xf numFmtId="0" fontId="8" fillId="0" borderId="16" xfId="0" applyFont="1" applyBorder="1" applyAlignment="1">
      <alignment horizontal="left" vertical="top" wrapText="1"/>
    </xf>
    <xf numFmtId="4" fontId="8" fillId="0" borderId="16" xfId="0" applyNumberFormat="1" applyFont="1" applyBorder="1" applyAlignment="1">
      <alignment vertical="center"/>
    </xf>
    <xf numFmtId="0" fontId="10" fillId="0" borderId="0" xfId="0" applyFont="1"/>
    <xf numFmtId="164" fontId="12" fillId="0" borderId="0" xfId="0" applyNumberFormat="1" applyFont="1" applyAlignment="1">
      <alignment vertical="center"/>
    </xf>
    <xf numFmtId="0" fontId="12" fillId="0" borderId="0" xfId="0" applyFont="1"/>
    <xf numFmtId="0" fontId="10" fillId="0" borderId="0" xfId="0" applyFont="1" applyAlignment="1">
      <alignment vertical="center"/>
    </xf>
    <xf numFmtId="164" fontId="13" fillId="0" borderId="0" xfId="0" applyNumberFormat="1" applyFont="1" applyAlignment="1">
      <alignment horizontal="center" vertical="center"/>
    </xf>
    <xf numFmtId="164" fontId="12" fillId="0" borderId="0" xfId="0" applyNumberFormat="1" applyFont="1"/>
    <xf numFmtId="164" fontId="10" fillId="0" borderId="6" xfId="0" applyNumberFormat="1" applyFont="1" applyBorder="1" applyAlignment="1">
      <alignment horizontal="right"/>
    </xf>
    <xf numFmtId="0" fontId="10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10" fillId="0" borderId="33" xfId="0" applyFont="1" applyBorder="1" applyAlignment="1">
      <alignment vertical="center"/>
    </xf>
    <xf numFmtId="49" fontId="11" fillId="0" borderId="15" xfId="1" applyNumberFormat="1" applyFont="1" applyBorder="1" applyAlignment="1">
      <alignment horizontal="center" vertical="center"/>
    </xf>
    <xf numFmtId="0" fontId="11" fillId="0" borderId="16" xfId="1" applyFont="1" applyBorder="1" applyAlignment="1">
      <alignment horizontal="left" vertical="center" wrapText="1"/>
    </xf>
    <xf numFmtId="0" fontId="11" fillId="0" borderId="16" xfId="0" applyFont="1" applyBorder="1" applyAlignment="1">
      <alignment horizontal="center" vertical="center"/>
    </xf>
    <xf numFmtId="4" fontId="11" fillId="0" borderId="16" xfId="1" applyNumberFormat="1" applyFont="1" applyBorder="1" applyAlignment="1">
      <alignment horizontal="center" vertical="center"/>
    </xf>
    <xf numFmtId="164" fontId="11" fillId="0" borderId="16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vertical="center"/>
    </xf>
    <xf numFmtId="49" fontId="11" fillId="0" borderId="0" xfId="1" applyNumberFormat="1" applyFont="1" applyAlignment="1">
      <alignment horizontal="center" vertical="center"/>
    </xf>
    <xf numFmtId="49" fontId="11" fillId="0" borderId="34" xfId="1" applyNumberFormat="1" applyFont="1" applyBorder="1" applyAlignment="1">
      <alignment vertical="center"/>
    </xf>
    <xf numFmtId="49" fontId="11" fillId="0" borderId="29" xfId="1" applyNumberFormat="1" applyFont="1" applyBorder="1" applyAlignment="1">
      <alignment vertical="center"/>
    </xf>
    <xf numFmtId="164" fontId="11" fillId="0" borderId="29" xfId="1" applyNumberFormat="1" applyFont="1" applyBorder="1" applyAlignment="1">
      <alignment vertical="center"/>
    </xf>
    <xf numFmtId="49" fontId="11" fillId="0" borderId="35" xfId="1" applyNumberFormat="1" applyFont="1" applyBorder="1" applyAlignment="1">
      <alignment vertical="center"/>
    </xf>
    <xf numFmtId="49" fontId="11" fillId="0" borderId="36" xfId="1" applyNumberFormat="1" applyFont="1" applyBorder="1" applyAlignment="1">
      <alignment horizontal="center" vertical="center"/>
    </xf>
    <xf numFmtId="0" fontId="11" fillId="0" borderId="37" xfId="1" applyFont="1" applyBorder="1" applyAlignment="1">
      <alignment horizontal="left" vertical="center" wrapText="1"/>
    </xf>
    <xf numFmtId="0" fontId="11" fillId="0" borderId="37" xfId="0" applyFont="1" applyBorder="1" applyAlignment="1">
      <alignment horizontal="center" vertical="center"/>
    </xf>
    <xf numFmtId="4" fontId="11" fillId="0" borderId="37" xfId="1" applyNumberFormat="1" applyFont="1" applyBorder="1" applyAlignment="1">
      <alignment horizontal="center" vertical="center"/>
    </xf>
    <xf numFmtId="164" fontId="11" fillId="0" borderId="37" xfId="0" applyNumberFormat="1" applyFont="1" applyBorder="1" applyAlignment="1">
      <alignment horizontal="center" vertical="center"/>
    </xf>
    <xf numFmtId="0" fontId="11" fillId="0" borderId="38" xfId="0" applyFont="1" applyBorder="1" applyAlignment="1">
      <alignment vertical="center"/>
    </xf>
    <xf numFmtId="49" fontId="11" fillId="0" borderId="7" xfId="1" applyNumberFormat="1" applyFont="1" applyBorder="1" applyAlignment="1">
      <alignment horizontal="center" vertical="center"/>
    </xf>
    <xf numFmtId="0" fontId="11" fillId="0" borderId="8" xfId="1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/>
    </xf>
    <xf numFmtId="4" fontId="11" fillId="0" borderId="8" xfId="1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49" fontId="11" fillId="0" borderId="39" xfId="1" applyNumberFormat="1" applyFont="1" applyBorder="1" applyAlignment="1">
      <alignment horizontal="center" vertical="center"/>
    </xf>
    <xf numFmtId="0" fontId="11" fillId="0" borderId="40" xfId="1" applyFont="1" applyBorder="1" applyAlignment="1">
      <alignment horizontal="left" vertical="center" wrapText="1"/>
    </xf>
    <xf numFmtId="0" fontId="11" fillId="0" borderId="40" xfId="0" applyFont="1" applyBorder="1" applyAlignment="1">
      <alignment horizontal="center" vertical="center"/>
    </xf>
    <xf numFmtId="4" fontId="11" fillId="0" borderId="40" xfId="1" applyNumberFormat="1" applyFont="1" applyBorder="1" applyAlignment="1">
      <alignment horizontal="center" vertical="center"/>
    </xf>
    <xf numFmtId="164" fontId="11" fillId="0" borderId="40" xfId="0" applyNumberFormat="1" applyFont="1" applyBorder="1" applyAlignment="1">
      <alignment horizontal="center" vertical="center"/>
    </xf>
    <xf numFmtId="0" fontId="11" fillId="0" borderId="41" xfId="0" applyFont="1" applyBorder="1" applyAlignment="1">
      <alignment vertical="center"/>
    </xf>
    <xf numFmtId="49" fontId="11" fillId="0" borderId="36" xfId="1" applyNumberFormat="1" applyFont="1" applyBorder="1" applyAlignment="1">
      <alignment vertical="center"/>
    </xf>
    <xf numFmtId="49" fontId="10" fillId="0" borderId="37" xfId="1" applyNumberFormat="1" applyFont="1" applyBorder="1" applyAlignment="1">
      <alignment vertical="center"/>
    </xf>
    <xf numFmtId="164" fontId="10" fillId="0" borderId="37" xfId="1" applyNumberFormat="1" applyFont="1" applyBorder="1" applyAlignment="1">
      <alignment vertical="center"/>
    </xf>
    <xf numFmtId="49" fontId="10" fillId="0" borderId="38" xfId="1" applyNumberFormat="1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vertical="center"/>
    </xf>
    <xf numFmtId="164" fontId="11" fillId="0" borderId="8" xfId="0" applyNumberFormat="1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vertical="center" wrapText="1"/>
    </xf>
    <xf numFmtId="4" fontId="11" fillId="0" borderId="16" xfId="0" applyNumberFormat="1" applyFont="1" applyBorder="1" applyAlignment="1">
      <alignment horizontal="center" vertical="center"/>
    </xf>
    <xf numFmtId="0" fontId="11" fillId="0" borderId="17" xfId="0" applyFont="1" applyBorder="1"/>
    <xf numFmtId="49" fontId="11" fillId="0" borderId="39" xfId="1" applyNumberFormat="1" applyFont="1" applyBorder="1" applyAlignment="1">
      <alignment vertical="center"/>
    </xf>
    <xf numFmtId="49" fontId="10" fillId="0" borderId="40" xfId="1" applyNumberFormat="1" applyFont="1" applyBorder="1" applyAlignment="1">
      <alignment vertical="center"/>
    </xf>
    <xf numFmtId="164" fontId="10" fillId="0" borderId="40" xfId="1" applyNumberFormat="1" applyFont="1" applyBorder="1" applyAlignment="1">
      <alignment vertical="center"/>
    </xf>
    <xf numFmtId="49" fontId="10" fillId="0" borderId="41" xfId="1" applyNumberFormat="1" applyFont="1" applyBorder="1" applyAlignment="1">
      <alignment vertical="center"/>
    </xf>
    <xf numFmtId="0" fontId="11" fillId="0" borderId="36" xfId="0" applyFont="1" applyBorder="1" applyAlignment="1">
      <alignment vertical="center"/>
    </xf>
    <xf numFmtId="0" fontId="10" fillId="0" borderId="37" xfId="0" applyFont="1" applyBorder="1" applyAlignment="1">
      <alignment vertical="center"/>
    </xf>
    <xf numFmtId="164" fontId="10" fillId="0" borderId="37" xfId="0" applyNumberFormat="1" applyFont="1" applyBorder="1" applyAlignment="1">
      <alignment vertical="center"/>
    </xf>
    <xf numFmtId="0" fontId="10" fillId="0" borderId="38" xfId="0" applyFont="1" applyBorder="1" applyAlignment="1">
      <alignment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left" vertical="center" wrapText="1"/>
    </xf>
    <xf numFmtId="49" fontId="11" fillId="0" borderId="39" xfId="0" applyNumberFormat="1" applyFont="1" applyBorder="1" applyAlignment="1">
      <alignment horizontal="center" vertical="center"/>
    </xf>
    <xf numFmtId="49" fontId="11" fillId="0" borderId="40" xfId="0" applyNumberFormat="1" applyFont="1" applyBorder="1" applyAlignment="1">
      <alignment horizontal="left" vertical="center" wrapText="1"/>
    </xf>
    <xf numFmtId="0" fontId="11" fillId="0" borderId="41" xfId="0" applyFont="1" applyBorder="1"/>
    <xf numFmtId="49" fontId="11" fillId="0" borderId="36" xfId="0" applyNumberFormat="1" applyFont="1" applyBorder="1" applyAlignment="1">
      <alignment horizontal="center" vertical="center"/>
    </xf>
    <xf numFmtId="49" fontId="11" fillId="0" borderId="37" xfId="0" applyNumberFormat="1" applyFont="1" applyBorder="1" applyAlignment="1">
      <alignment horizontal="left" vertical="center" wrapText="1"/>
    </xf>
    <xf numFmtId="0" fontId="11" fillId="0" borderId="38" xfId="0" applyFont="1" applyBorder="1"/>
    <xf numFmtId="0" fontId="11" fillId="0" borderId="37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49" fontId="11" fillId="0" borderId="42" xfId="0" applyNumberFormat="1" applyFont="1" applyBorder="1" applyAlignment="1">
      <alignment horizontal="center" vertical="center"/>
    </xf>
    <xf numFmtId="49" fontId="11" fillId="0" borderId="43" xfId="0" applyNumberFormat="1" applyFont="1" applyBorder="1" applyAlignment="1">
      <alignment horizontal="left" vertical="center" wrapText="1"/>
    </xf>
    <xf numFmtId="0" fontId="11" fillId="0" borderId="43" xfId="0" applyFont="1" applyBorder="1" applyAlignment="1">
      <alignment horizontal="center" vertical="center"/>
    </xf>
    <xf numFmtId="4" fontId="11" fillId="0" borderId="43" xfId="1" applyNumberFormat="1" applyFont="1" applyBorder="1" applyAlignment="1">
      <alignment horizontal="center" vertical="center"/>
    </xf>
    <xf numFmtId="164" fontId="11" fillId="0" borderId="43" xfId="0" applyNumberFormat="1" applyFont="1" applyBorder="1" applyAlignment="1">
      <alignment horizontal="center" vertical="center"/>
    </xf>
    <xf numFmtId="0" fontId="11" fillId="0" borderId="44" xfId="0" applyFont="1" applyBorder="1"/>
    <xf numFmtId="0" fontId="14" fillId="0" borderId="40" xfId="0" applyFont="1" applyBorder="1" applyAlignment="1">
      <alignment horizontal="left" vertical="top" wrapText="1"/>
    </xf>
    <xf numFmtId="0" fontId="14" fillId="0" borderId="40" xfId="0" applyFont="1" applyBorder="1" applyAlignment="1">
      <alignment horizontal="center" vertical="center"/>
    </xf>
    <xf numFmtId="4" fontId="14" fillId="0" borderId="40" xfId="0" applyNumberFormat="1" applyFont="1" applyBorder="1" applyAlignment="1">
      <alignment vertical="center"/>
    </xf>
    <xf numFmtId="49" fontId="10" fillId="0" borderId="6" xfId="0" applyNumberFormat="1" applyFont="1" applyBorder="1" applyAlignment="1">
      <alignment horizontal="center" vertical="center"/>
    </xf>
    <xf numFmtId="49" fontId="11" fillId="0" borderId="37" xfId="1" applyNumberFormat="1" applyFont="1" applyBorder="1" applyAlignment="1">
      <alignment vertical="center"/>
    </xf>
    <xf numFmtId="164" fontId="11" fillId="0" borderId="37" xfId="1" applyNumberFormat="1" applyFont="1" applyBorder="1" applyAlignment="1">
      <alignment vertical="center"/>
    </xf>
    <xf numFmtId="49" fontId="11" fillId="0" borderId="38" xfId="1" applyNumberFormat="1" applyFont="1" applyBorder="1" applyAlignment="1">
      <alignment vertical="center"/>
    </xf>
    <xf numFmtId="0" fontId="11" fillId="0" borderId="8" xfId="0" applyFont="1" applyBorder="1" applyAlignment="1">
      <alignment vertical="center" wrapText="1"/>
    </xf>
    <xf numFmtId="4" fontId="11" fillId="0" borderId="8" xfId="0" applyNumberFormat="1" applyFont="1" applyBorder="1" applyAlignment="1">
      <alignment horizontal="center" vertical="center"/>
    </xf>
    <xf numFmtId="0" fontId="11" fillId="0" borderId="9" xfId="0" applyFont="1" applyBorder="1"/>
    <xf numFmtId="0" fontId="11" fillId="0" borderId="0" xfId="1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4" fontId="11" fillId="0" borderId="0" xfId="1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1" fillId="0" borderId="22" xfId="0" applyFont="1" applyBorder="1" applyAlignment="1">
      <alignment vertical="center"/>
    </xf>
    <xf numFmtId="49" fontId="11" fillId="0" borderId="19" xfId="0" applyNumberFormat="1" applyFont="1" applyBorder="1" applyAlignment="1">
      <alignment horizontal="left" vertical="center" wrapText="1"/>
    </xf>
    <xf numFmtId="49" fontId="11" fillId="0" borderId="34" xfId="0" applyNumberFormat="1" applyFont="1" applyBorder="1" applyAlignment="1">
      <alignment horizontal="center" vertical="center"/>
    </xf>
    <xf numFmtId="0" fontId="14" fillId="0" borderId="29" xfId="0" applyFont="1" applyBorder="1" applyAlignment="1">
      <alignment horizontal="left" vertical="top" wrapText="1"/>
    </xf>
    <xf numFmtId="0" fontId="14" fillId="0" borderId="29" xfId="0" applyFont="1" applyBorder="1" applyAlignment="1">
      <alignment horizontal="center" vertical="center"/>
    </xf>
    <xf numFmtId="4" fontId="14" fillId="0" borderId="29" xfId="0" applyNumberFormat="1" applyFont="1" applyBorder="1" applyAlignment="1">
      <alignment vertical="center"/>
    </xf>
    <xf numFmtId="164" fontId="11" fillId="0" borderId="29" xfId="0" applyNumberFormat="1" applyFont="1" applyBorder="1" applyAlignment="1">
      <alignment horizontal="center" vertical="center"/>
    </xf>
    <xf numFmtId="0" fontId="11" fillId="0" borderId="35" xfId="0" applyFont="1" applyBorder="1"/>
    <xf numFmtId="0" fontId="6" fillId="0" borderId="0" xfId="0" applyFont="1"/>
    <xf numFmtId="164" fontId="0" fillId="0" borderId="0" xfId="0" applyNumberFormat="1"/>
    <xf numFmtId="0" fontId="15" fillId="0" borderId="0" xfId="0" applyFont="1" applyAlignment="1">
      <alignment vertical="center"/>
    </xf>
    <xf numFmtId="164" fontId="13" fillId="0" borderId="0" xfId="0" applyNumberFormat="1" applyFont="1"/>
    <xf numFmtId="164" fontId="10" fillId="2" borderId="6" xfId="0" applyNumberFormat="1" applyFont="1" applyFill="1" applyBorder="1" applyAlignment="1">
      <alignment horizontal="right"/>
    </xf>
    <xf numFmtId="0" fontId="10" fillId="2" borderId="6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 vertical="center"/>
    </xf>
    <xf numFmtId="4" fontId="10" fillId="4" borderId="14" xfId="0" applyNumberFormat="1" applyFont="1" applyFill="1" applyBorder="1" applyAlignment="1">
      <alignment horizontal="center" vertical="center"/>
    </xf>
    <xf numFmtId="0" fontId="11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164" fontId="10" fillId="0" borderId="16" xfId="0" applyNumberFormat="1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49" fontId="11" fillId="0" borderId="15" xfId="1" applyNumberFormat="1" applyFont="1" applyBorder="1" applyAlignment="1">
      <alignment vertical="center"/>
    </xf>
    <xf numFmtId="49" fontId="10" fillId="0" borderId="16" xfId="1" applyNumberFormat="1" applyFont="1" applyBorder="1" applyAlignment="1">
      <alignment vertical="center"/>
    </xf>
    <xf numFmtId="164" fontId="10" fillId="0" borderId="16" xfId="1" applyNumberFormat="1" applyFont="1" applyBorder="1" applyAlignment="1">
      <alignment vertical="center"/>
    </xf>
    <xf numFmtId="49" fontId="10" fillId="0" borderId="17" xfId="1" applyNumberFormat="1" applyFont="1" applyBorder="1" applyAlignment="1">
      <alignment vertical="center"/>
    </xf>
    <xf numFmtId="0" fontId="11" fillId="0" borderId="16" xfId="0" applyFont="1" applyBorder="1" applyAlignment="1">
      <alignment horizontal="center" vertical="center" wrapText="1"/>
    </xf>
    <xf numFmtId="49" fontId="10" fillId="0" borderId="15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left" vertical="center" wrapText="1"/>
    </xf>
    <xf numFmtId="49" fontId="11" fillId="0" borderId="53" xfId="0" applyNumberFormat="1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/>
    </xf>
    <xf numFmtId="4" fontId="10" fillId="4" borderId="54" xfId="0" applyNumberFormat="1" applyFont="1" applyFill="1" applyBorder="1" applyAlignment="1">
      <alignment horizontal="center" vertical="center"/>
    </xf>
    <xf numFmtId="49" fontId="11" fillId="0" borderId="55" xfId="0" applyNumberFormat="1" applyFont="1" applyBorder="1" applyAlignment="1">
      <alignment horizontal="center" vertical="center"/>
    </xf>
    <xf numFmtId="49" fontId="11" fillId="0" borderId="55" xfId="0" applyNumberFormat="1" applyFont="1" applyBorder="1" applyAlignment="1">
      <alignment horizontal="left" vertical="center" wrapText="1"/>
    </xf>
    <xf numFmtId="0" fontId="11" fillId="0" borderId="55" xfId="0" applyFont="1" applyBorder="1" applyAlignment="1">
      <alignment horizontal="center" vertical="center"/>
    </xf>
    <xf numFmtId="4" fontId="11" fillId="0" borderId="55" xfId="1" applyNumberFormat="1" applyFont="1" applyBorder="1" applyAlignment="1">
      <alignment horizontal="center" vertical="center"/>
    </xf>
    <xf numFmtId="164" fontId="11" fillId="0" borderId="55" xfId="0" applyNumberFormat="1" applyFont="1" applyBorder="1" applyAlignment="1">
      <alignment horizontal="center" vertical="center"/>
    </xf>
    <xf numFmtId="0" fontId="11" fillId="0" borderId="56" xfId="0" applyFont="1" applyBorder="1"/>
    <xf numFmtId="49" fontId="11" fillId="0" borderId="16" xfId="0" applyNumberFormat="1" applyFont="1" applyBorder="1" applyAlignment="1">
      <alignment horizontal="center" vertical="center"/>
    </xf>
    <xf numFmtId="0" fontId="3" fillId="0" borderId="57" xfId="0" applyFont="1" applyBorder="1"/>
    <xf numFmtId="164" fontId="11" fillId="0" borderId="57" xfId="0" applyNumberFormat="1" applyFont="1" applyBorder="1" applyAlignment="1">
      <alignment horizontal="center" vertical="center"/>
    </xf>
    <xf numFmtId="0" fontId="11" fillId="0" borderId="58" xfId="0" applyFont="1" applyBorder="1"/>
    <xf numFmtId="49" fontId="10" fillId="2" borderId="23" xfId="0" applyNumberFormat="1" applyFont="1" applyFill="1" applyBorder="1" applyAlignment="1">
      <alignment horizontal="center" vertical="center"/>
    </xf>
    <xf numFmtId="49" fontId="10" fillId="2" borderId="27" xfId="0" applyNumberFormat="1" applyFont="1" applyFill="1" applyBorder="1" applyAlignment="1">
      <alignment horizontal="center" vertical="center"/>
    </xf>
    <xf numFmtId="49" fontId="20" fillId="0" borderId="53" xfId="0" applyNumberFormat="1" applyFont="1" applyBorder="1" applyAlignment="1">
      <alignment horizontal="left" vertical="center" wrapText="1"/>
    </xf>
    <xf numFmtId="0" fontId="20" fillId="0" borderId="16" xfId="0" applyFont="1" applyBorder="1" applyAlignment="1">
      <alignment horizontal="center" vertical="center"/>
    </xf>
    <xf numFmtId="49" fontId="20" fillId="0" borderId="19" xfId="0" applyNumberFormat="1" applyFont="1" applyBorder="1" applyAlignment="1">
      <alignment horizontal="left" vertical="center" wrapText="1"/>
    </xf>
    <xf numFmtId="0" fontId="20" fillId="5" borderId="16" xfId="0" applyFont="1" applyFill="1" applyBorder="1" applyAlignment="1">
      <alignment horizontal="center" vertical="center"/>
    </xf>
    <xf numFmtId="0" fontId="8" fillId="0" borderId="0" xfId="0" applyFont="1"/>
    <xf numFmtId="49" fontId="11" fillId="5" borderId="16" xfId="0" applyNumberFormat="1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center" vertical="center"/>
    </xf>
    <xf numFmtId="4" fontId="10" fillId="6" borderId="6" xfId="0" applyNumberFormat="1" applyFont="1" applyFill="1" applyBorder="1" applyAlignment="1">
      <alignment horizontal="center" vertical="center"/>
    </xf>
    <xf numFmtId="49" fontId="11" fillId="5" borderId="7" xfId="0" applyNumberFormat="1" applyFont="1" applyFill="1" applyBorder="1" applyAlignment="1">
      <alignment horizontal="center" vertical="center"/>
    </xf>
    <xf numFmtId="49" fontId="11" fillId="5" borderId="8" xfId="0" applyNumberFormat="1" applyFont="1" applyFill="1" applyBorder="1" applyAlignment="1">
      <alignment horizontal="left" vertical="center" wrapText="1"/>
    </xf>
    <xf numFmtId="0" fontId="11" fillId="5" borderId="8" xfId="0" applyFont="1" applyFill="1" applyBorder="1" applyAlignment="1">
      <alignment horizontal="center" vertical="center"/>
    </xf>
    <xf numFmtId="4" fontId="11" fillId="5" borderId="8" xfId="1" applyNumberFormat="1" applyFont="1" applyFill="1" applyBorder="1" applyAlignment="1">
      <alignment horizontal="center" vertical="center"/>
    </xf>
    <xf numFmtId="164" fontId="11" fillId="5" borderId="8" xfId="0" applyNumberFormat="1" applyFont="1" applyFill="1" applyBorder="1" applyAlignment="1">
      <alignment horizontal="center" vertical="center"/>
    </xf>
    <xf numFmtId="0" fontId="11" fillId="5" borderId="9" xfId="0" applyFont="1" applyFill="1" applyBorder="1"/>
    <xf numFmtId="49" fontId="11" fillId="5" borderId="15" xfId="0" applyNumberFormat="1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4" fontId="11" fillId="5" borderId="16" xfId="1" applyNumberFormat="1" applyFont="1" applyFill="1" applyBorder="1" applyAlignment="1">
      <alignment horizontal="center" vertical="center"/>
    </xf>
    <xf numFmtId="164" fontId="11" fillId="5" borderId="16" xfId="0" applyNumberFormat="1" applyFont="1" applyFill="1" applyBorder="1" applyAlignment="1">
      <alignment horizontal="center" vertical="center"/>
    </xf>
    <xf numFmtId="0" fontId="11" fillId="5" borderId="17" xfId="0" applyFont="1" applyFill="1" applyBorder="1"/>
    <xf numFmtId="49" fontId="11" fillId="5" borderId="42" xfId="0" applyNumberFormat="1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horizontal="left" vertical="top" wrapText="1"/>
    </xf>
    <xf numFmtId="0" fontId="11" fillId="5" borderId="20" xfId="0" applyFont="1" applyFill="1" applyBorder="1" applyAlignment="1">
      <alignment horizontal="center" vertical="center"/>
    </xf>
    <xf numFmtId="4" fontId="11" fillId="5" borderId="20" xfId="0" applyNumberFormat="1" applyFont="1" applyFill="1" applyBorder="1" applyAlignment="1">
      <alignment horizontal="center" vertical="center"/>
    </xf>
    <xf numFmtId="164" fontId="11" fillId="5" borderId="20" xfId="0" applyNumberFormat="1" applyFont="1" applyFill="1" applyBorder="1" applyAlignment="1">
      <alignment horizontal="center" vertical="center"/>
    </xf>
    <xf numFmtId="0" fontId="11" fillId="5" borderId="44" xfId="0" applyFont="1" applyFill="1" applyBorder="1"/>
    <xf numFmtId="49" fontId="10" fillId="0" borderId="50" xfId="0" applyNumberFormat="1" applyFont="1" applyBorder="1" applyAlignment="1">
      <alignment vertical="center" wrapText="1"/>
    </xf>
    <xf numFmtId="49" fontId="10" fillId="0" borderId="51" xfId="0" applyNumberFormat="1" applyFont="1" applyBorder="1" applyAlignment="1">
      <alignment vertical="center" wrapText="1"/>
    </xf>
    <xf numFmtId="49" fontId="10" fillId="0" borderId="52" xfId="0" applyNumberFormat="1" applyFont="1" applyBorder="1" applyAlignment="1">
      <alignment vertical="center" wrapText="1"/>
    </xf>
    <xf numFmtId="49" fontId="10" fillId="0" borderId="16" xfId="0" applyNumberFormat="1" applyFont="1" applyBorder="1" applyAlignment="1">
      <alignment vertical="center" wrapText="1"/>
    </xf>
    <xf numFmtId="49" fontId="10" fillId="0" borderId="17" xfId="0" applyNumberFormat="1" applyFont="1" applyBorder="1" applyAlignment="1">
      <alignment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left" vertical="center" wrapText="1"/>
    </xf>
    <xf numFmtId="49" fontId="11" fillId="0" borderId="17" xfId="0" applyNumberFormat="1" applyFont="1" applyBorder="1" applyAlignment="1">
      <alignment horizontal="left" vertical="center" wrapText="1"/>
    </xf>
    <xf numFmtId="2" fontId="11" fillId="0" borderId="16" xfId="0" applyNumberFormat="1" applyFont="1" applyBorder="1" applyAlignment="1">
      <alignment horizontal="center" vertical="center" wrapText="1"/>
    </xf>
    <xf numFmtId="49" fontId="11" fillId="0" borderId="44" xfId="0" applyNumberFormat="1" applyFont="1" applyBorder="1" applyAlignment="1">
      <alignment horizontal="left" vertical="center" wrapText="1"/>
    </xf>
    <xf numFmtId="49" fontId="11" fillId="0" borderId="43" xfId="0" applyNumberFormat="1" applyFont="1" applyBorder="1" applyAlignment="1">
      <alignment horizontal="center" vertical="center"/>
    </xf>
    <xf numFmtId="49" fontId="11" fillId="0" borderId="61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24" fillId="0" borderId="0" xfId="0" applyFont="1"/>
    <xf numFmtId="16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164" fontId="25" fillId="0" borderId="0" xfId="0" applyNumberFormat="1" applyFont="1" applyAlignment="1">
      <alignment horizontal="center" vertical="center"/>
    </xf>
    <xf numFmtId="164" fontId="24" fillId="0" borderId="0" xfId="0" applyNumberFormat="1" applyFont="1"/>
    <xf numFmtId="164" fontId="24" fillId="0" borderId="6" xfId="0" applyNumberFormat="1" applyFont="1" applyBorder="1" applyAlignment="1">
      <alignment horizontal="right"/>
    </xf>
    <xf numFmtId="0" fontId="24" fillId="0" borderId="6" xfId="0" applyFont="1" applyBorder="1" applyAlignment="1">
      <alignment horizontal="center"/>
    </xf>
    <xf numFmtId="0" fontId="24" fillId="0" borderId="6" xfId="0" applyFont="1" applyBorder="1" applyAlignment="1">
      <alignment horizontal="center" vertical="center"/>
    </xf>
    <xf numFmtId="4" fontId="24" fillId="0" borderId="6" xfId="0" applyNumberFormat="1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7" fillId="0" borderId="0" xfId="0" applyFont="1"/>
    <xf numFmtId="0" fontId="24" fillId="0" borderId="33" xfId="0" applyFont="1" applyBorder="1" applyAlignment="1">
      <alignment vertical="center"/>
    </xf>
    <xf numFmtId="49" fontId="24" fillId="0" borderId="0" xfId="1" applyNumberFormat="1" applyFont="1" applyAlignment="1">
      <alignment horizontal="left" vertical="center"/>
    </xf>
    <xf numFmtId="0" fontId="26" fillId="0" borderId="16" xfId="0" applyFont="1" applyBorder="1" applyAlignment="1">
      <alignment horizontal="center" vertical="center"/>
    </xf>
    <xf numFmtId="4" fontId="26" fillId="0" borderId="16" xfId="1" applyNumberFormat="1" applyFont="1" applyBorder="1" applyAlignment="1">
      <alignment horizontal="center" vertical="center"/>
    </xf>
    <xf numFmtId="164" fontId="26" fillId="0" borderId="16" xfId="0" applyNumberFormat="1" applyFont="1" applyBorder="1" applyAlignment="1">
      <alignment horizontal="center" vertical="center"/>
    </xf>
    <xf numFmtId="0" fontId="26" fillId="0" borderId="17" xfId="0" applyFont="1" applyBorder="1" applyAlignment="1">
      <alignment vertical="center"/>
    </xf>
    <xf numFmtId="49" fontId="26" fillId="0" borderId="34" xfId="1" applyNumberFormat="1" applyFont="1" applyBorder="1" applyAlignment="1">
      <alignment vertical="center"/>
    </xf>
    <xf numFmtId="49" fontId="26" fillId="0" borderId="29" xfId="1" applyNumberFormat="1" applyFont="1" applyBorder="1" applyAlignment="1">
      <alignment vertical="center"/>
    </xf>
    <xf numFmtId="164" fontId="26" fillId="0" borderId="29" xfId="1" applyNumberFormat="1" applyFont="1" applyBorder="1" applyAlignment="1">
      <alignment vertical="center"/>
    </xf>
    <xf numFmtId="49" fontId="26" fillId="0" borderId="35" xfId="1" applyNumberFormat="1" applyFont="1" applyBorder="1" applyAlignment="1">
      <alignment vertical="center"/>
    </xf>
    <xf numFmtId="49" fontId="24" fillId="0" borderId="6" xfId="0" applyNumberFormat="1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6" xfId="1" applyFont="1" applyBorder="1" applyAlignment="1">
      <alignment horizontal="left" vertical="center" wrapText="1"/>
    </xf>
    <xf numFmtId="4" fontId="24" fillId="0" borderId="6" xfId="0" applyNumberFormat="1" applyFont="1" applyBorder="1" applyAlignment="1">
      <alignment horizontal="center" vertical="center"/>
    </xf>
    <xf numFmtId="4" fontId="24" fillId="0" borderId="6" xfId="0" applyNumberFormat="1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right" vertical="center"/>
    </xf>
    <xf numFmtId="164" fontId="24" fillId="0" borderId="6" xfId="0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left" vertical="center"/>
    </xf>
    <xf numFmtId="0" fontId="10" fillId="5" borderId="6" xfId="1" applyFont="1" applyFill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47" xfId="1" applyFont="1" applyBorder="1" applyAlignment="1">
      <alignment horizontal="left" vertical="center" wrapText="1"/>
    </xf>
    <xf numFmtId="0" fontId="10" fillId="0" borderId="48" xfId="1" applyFont="1" applyBorder="1" applyAlignment="1">
      <alignment horizontal="left" vertical="center" wrapText="1"/>
    </xf>
    <xf numFmtId="0" fontId="10" fillId="0" borderId="49" xfId="1" applyFont="1" applyBorder="1" applyAlignment="1">
      <alignment horizontal="left"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left" vertical="center" wrapText="1"/>
    </xf>
    <xf numFmtId="0" fontId="10" fillId="3" borderId="12" xfId="1" applyFont="1" applyFill="1" applyBorder="1" applyAlignment="1">
      <alignment horizontal="left" vertical="center" wrapText="1"/>
    </xf>
    <xf numFmtId="0" fontId="10" fillId="3" borderId="13" xfId="1" applyFont="1" applyFill="1" applyBorder="1" applyAlignment="1">
      <alignment horizontal="left" vertical="center" wrapText="1"/>
    </xf>
    <xf numFmtId="4" fontId="10" fillId="2" borderId="24" xfId="0" applyNumberFormat="1" applyFont="1" applyFill="1" applyBorder="1" applyAlignment="1">
      <alignment horizontal="center" vertical="center"/>
    </xf>
    <xf numFmtId="4" fontId="10" fillId="2" borderId="25" xfId="0" applyNumberFormat="1" applyFont="1" applyFill="1" applyBorder="1" applyAlignment="1">
      <alignment horizontal="center" vertical="center"/>
    </xf>
    <xf numFmtId="4" fontId="10" fillId="2" borderId="26" xfId="0" applyNumberFormat="1" applyFont="1" applyFill="1" applyBorder="1" applyAlignment="1">
      <alignment horizontal="center" vertical="center"/>
    </xf>
    <xf numFmtId="4" fontId="10" fillId="2" borderId="31" xfId="0" applyNumberFormat="1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4" fontId="10" fillId="2" borderId="28" xfId="0" applyNumberFormat="1" applyFont="1" applyFill="1" applyBorder="1" applyAlignment="1">
      <alignment horizontal="center" vertical="center"/>
    </xf>
    <xf numFmtId="4" fontId="10" fillId="2" borderId="29" xfId="0" applyNumberFormat="1" applyFont="1" applyFill="1" applyBorder="1" applyAlignment="1">
      <alignment horizontal="center" vertical="center"/>
    </xf>
    <xf numFmtId="4" fontId="10" fillId="2" borderId="30" xfId="0" applyNumberFormat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4" fontId="10" fillId="2" borderId="2" xfId="0" applyNumberFormat="1" applyFont="1" applyFill="1" applyBorder="1" applyAlignment="1">
      <alignment horizontal="center" vertical="center"/>
    </xf>
    <xf numFmtId="4" fontId="10" fillId="2" borderId="5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4" fontId="10" fillId="0" borderId="45" xfId="0" applyNumberFormat="1" applyFont="1" applyBorder="1" applyAlignment="1">
      <alignment horizontal="center" vertical="center"/>
    </xf>
    <xf numFmtId="4" fontId="10" fillId="0" borderId="46" xfId="0" applyNumberFormat="1" applyFont="1" applyBorder="1" applyAlignment="1">
      <alignment horizontal="center" vertical="center"/>
    </xf>
    <xf numFmtId="0" fontId="7" fillId="3" borderId="11" xfId="1" applyFont="1" applyFill="1" applyBorder="1" applyAlignment="1">
      <alignment horizontal="left" vertical="center" wrapText="1"/>
    </xf>
    <xf numFmtId="0" fontId="7" fillId="3" borderId="12" xfId="1" applyFont="1" applyFill="1" applyBorder="1" applyAlignment="1">
      <alignment horizontal="left" vertical="center" wrapText="1"/>
    </xf>
    <xf numFmtId="0" fontId="7" fillId="3" borderId="13" xfId="1" applyFont="1" applyFill="1" applyBorder="1" applyAlignment="1">
      <alignment horizontal="left" vertical="center" wrapText="1"/>
    </xf>
    <xf numFmtId="4" fontId="7" fillId="2" borderId="24" xfId="0" applyNumberFormat="1" applyFont="1" applyFill="1" applyBorder="1" applyAlignment="1">
      <alignment horizontal="center" vertical="center"/>
    </xf>
    <xf numFmtId="4" fontId="7" fillId="2" borderId="25" xfId="0" applyNumberFormat="1" applyFont="1" applyFill="1" applyBorder="1" applyAlignment="1">
      <alignment horizontal="center" vertical="center"/>
    </xf>
    <xf numFmtId="4" fontId="7" fillId="2" borderId="59" xfId="0" applyNumberFormat="1" applyFont="1" applyFill="1" applyBorder="1" applyAlignment="1">
      <alignment horizontal="center" vertical="center"/>
    </xf>
    <xf numFmtId="3" fontId="7" fillId="2" borderId="45" xfId="0" applyNumberFormat="1" applyFont="1" applyFill="1" applyBorder="1" applyAlignment="1">
      <alignment horizontal="center" vertical="center"/>
    </xf>
    <xf numFmtId="3" fontId="7" fillId="2" borderId="46" xfId="0" applyNumberFormat="1" applyFont="1" applyFill="1" applyBorder="1" applyAlignment="1">
      <alignment horizontal="center" vertical="center"/>
    </xf>
    <xf numFmtId="4" fontId="7" fillId="2" borderId="28" xfId="0" applyNumberFormat="1" applyFont="1" applyFill="1" applyBorder="1" applyAlignment="1">
      <alignment horizontal="center" vertical="center"/>
    </xf>
    <xf numFmtId="4" fontId="7" fillId="2" borderId="29" xfId="0" applyNumberFormat="1" applyFont="1" applyFill="1" applyBorder="1" applyAlignment="1">
      <alignment horizontal="center" vertical="center"/>
    </xf>
    <xf numFmtId="4" fontId="7" fillId="2" borderId="6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4" fontId="7" fillId="2" borderId="26" xfId="0" applyNumberFormat="1" applyFont="1" applyFill="1" applyBorder="1" applyAlignment="1">
      <alignment horizontal="center" vertical="center"/>
    </xf>
    <xf numFmtId="3" fontId="7" fillId="2" borderId="31" xfId="0" applyNumberFormat="1" applyFont="1" applyFill="1" applyBorder="1" applyAlignment="1">
      <alignment horizontal="center" vertical="center"/>
    </xf>
    <xf numFmtId="3" fontId="7" fillId="2" borderId="32" xfId="0" applyNumberFormat="1" applyFont="1" applyFill="1" applyBorder="1" applyAlignment="1">
      <alignment horizontal="center" vertical="center"/>
    </xf>
    <xf numFmtId="4" fontId="7" fillId="2" borderId="30" xfId="0" applyNumberFormat="1" applyFont="1" applyFill="1" applyBorder="1" applyAlignment="1">
      <alignment horizontal="center" vertical="center"/>
    </xf>
  </cellXfs>
  <cellStyles count="2">
    <cellStyle name="Normal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zoomScale="180" zoomScaleNormal="180" workbookViewId="0">
      <selection activeCell="B12" sqref="B12"/>
    </sheetView>
  </sheetViews>
  <sheetFormatPr defaultRowHeight="14.4"/>
  <cols>
    <col min="2" max="2" width="40.33203125" bestFit="1" customWidth="1"/>
  </cols>
  <sheetData>
    <row r="1" spans="1:2">
      <c r="A1" s="234" t="s">
        <v>0</v>
      </c>
      <c r="B1" s="235" t="s">
        <v>1</v>
      </c>
    </row>
    <row r="2" spans="1:2">
      <c r="A2" s="233">
        <v>1</v>
      </c>
      <c r="B2" s="1" t="s">
        <v>2</v>
      </c>
    </row>
    <row r="3" spans="1:2">
      <c r="A3" s="233">
        <v>2</v>
      </c>
      <c r="B3" s="1" t="s">
        <v>3</v>
      </c>
    </row>
    <row r="4" spans="1:2">
      <c r="A4" s="233">
        <v>3</v>
      </c>
      <c r="B4" s="1" t="s">
        <v>4</v>
      </c>
    </row>
    <row r="5" spans="1:2">
      <c r="A5" s="233">
        <v>4</v>
      </c>
      <c r="B5" s="1" t="s">
        <v>5</v>
      </c>
    </row>
    <row r="6" spans="1:2">
      <c r="A6" s="233">
        <v>5</v>
      </c>
      <c r="B6" s="1" t="s">
        <v>6</v>
      </c>
    </row>
    <row r="7" spans="1:2">
      <c r="A7" s="233">
        <v>6</v>
      </c>
      <c r="B7" s="2" t="s">
        <v>7</v>
      </c>
    </row>
    <row r="8" spans="1:2">
      <c r="A8" s="233">
        <v>7</v>
      </c>
      <c r="B8" s="2" t="s">
        <v>8</v>
      </c>
    </row>
  </sheetData>
  <sortState ref="A2:B12">
    <sortCondition ref="A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view="pageBreakPreview" zoomScale="85" zoomScaleNormal="85" zoomScaleSheetLayoutView="85" workbookViewId="0">
      <selection activeCell="B18" sqref="B18"/>
    </sheetView>
  </sheetViews>
  <sheetFormatPr defaultRowHeight="14.4"/>
  <cols>
    <col min="1" max="1" width="7.109375" bestFit="1" customWidth="1"/>
    <col min="2" max="2" width="108" bestFit="1" customWidth="1"/>
    <col min="3" max="3" width="3.6640625" bestFit="1" customWidth="1"/>
    <col min="4" max="4" width="7.88671875" bestFit="1" customWidth="1"/>
    <col min="5" max="5" width="12.6640625" bestFit="1" customWidth="1"/>
    <col min="6" max="6" width="11.44140625" bestFit="1" customWidth="1"/>
    <col min="7" max="7" width="12.109375" customWidth="1"/>
    <col min="10" max="10" width="18.5546875" bestFit="1" customWidth="1"/>
  </cols>
  <sheetData>
    <row r="1" spans="1:7">
      <c r="A1" s="236" t="s">
        <v>10</v>
      </c>
      <c r="B1" s="262" t="s">
        <v>11</v>
      </c>
      <c r="C1" s="262"/>
      <c r="D1" s="262"/>
      <c r="E1" s="262"/>
      <c r="F1" s="237"/>
      <c r="G1" s="236"/>
    </row>
    <row r="2" spans="1:7">
      <c r="A2" s="236" t="s">
        <v>12</v>
      </c>
      <c r="B2" s="238"/>
      <c r="C2" s="236"/>
      <c r="D2" s="236"/>
      <c r="E2" s="239"/>
      <c r="F2" s="263"/>
      <c r="G2" s="263"/>
    </row>
    <row r="3" spans="1:7">
      <c r="A3" s="236"/>
      <c r="B3" s="262"/>
      <c r="C3" s="262"/>
      <c r="D3" s="262"/>
      <c r="E3" s="262"/>
      <c r="F3" s="263" t="s">
        <v>15</v>
      </c>
      <c r="G3" s="263"/>
    </row>
    <row r="4" spans="1:7" ht="15" thickBot="1">
      <c r="A4" s="236"/>
      <c r="B4" s="238"/>
      <c r="C4" s="236"/>
      <c r="D4" s="236"/>
      <c r="E4" s="240"/>
      <c r="F4" s="240"/>
      <c r="G4" s="236"/>
    </row>
    <row r="5" spans="1:7" ht="15" thickBot="1">
      <c r="A5" s="258" t="s">
        <v>16</v>
      </c>
      <c r="B5" s="258" t="s">
        <v>17</v>
      </c>
      <c r="C5" s="258" t="s">
        <v>18</v>
      </c>
      <c r="D5" s="260" t="s">
        <v>19</v>
      </c>
      <c r="E5" s="264" t="s">
        <v>20</v>
      </c>
      <c r="F5" s="258" t="s">
        <v>21</v>
      </c>
      <c r="G5" s="258"/>
    </row>
    <row r="6" spans="1:7" ht="15" thickBot="1">
      <c r="A6" s="258"/>
      <c r="B6" s="258" t="s">
        <v>22</v>
      </c>
      <c r="C6" s="258" t="s">
        <v>23</v>
      </c>
      <c r="D6" s="260" t="s">
        <v>24</v>
      </c>
      <c r="E6" s="264"/>
      <c r="F6" s="241" t="s">
        <v>25</v>
      </c>
      <c r="G6" s="242" t="s">
        <v>26</v>
      </c>
    </row>
    <row r="7" spans="1:7" ht="15" thickBot="1">
      <c r="A7" s="258"/>
      <c r="B7" s="258"/>
      <c r="C7" s="258"/>
      <c r="D7" s="258"/>
      <c r="E7" s="258"/>
      <c r="F7" s="258"/>
      <c r="G7" s="258"/>
    </row>
    <row r="8" spans="1:7" ht="15" thickBot="1">
      <c r="A8" s="243">
        <v>0</v>
      </c>
      <c r="B8" s="259" t="s">
        <v>245</v>
      </c>
      <c r="C8" s="259"/>
      <c r="D8" s="259"/>
      <c r="E8" s="259"/>
      <c r="F8" s="259"/>
      <c r="G8" s="244">
        <f>SUM(F10:F10)</f>
        <v>0</v>
      </c>
    </row>
    <row r="9" spans="1:7">
      <c r="A9" s="245"/>
      <c r="B9" s="246"/>
      <c r="C9" s="238"/>
      <c r="D9" s="238"/>
      <c r="E9" s="237"/>
      <c r="F9" s="237"/>
      <c r="G9" s="247"/>
    </row>
    <row r="10" spans="1:7" ht="82.2" customHeight="1">
      <c r="A10" s="248"/>
      <c r="B10" s="73" t="s">
        <v>246</v>
      </c>
      <c r="C10" s="249" t="s">
        <v>103</v>
      </c>
      <c r="D10" s="250">
        <v>1</v>
      </c>
      <c r="E10" s="251"/>
      <c r="F10" s="251">
        <f t="shared" ref="F10" si="0">D10*E10</f>
        <v>0</v>
      </c>
      <c r="G10" s="252"/>
    </row>
    <row r="11" spans="1:7" ht="15" thickBot="1">
      <c r="A11" s="253"/>
      <c r="B11" s="254"/>
      <c r="C11" s="254"/>
      <c r="D11" s="254"/>
      <c r="E11" s="255"/>
      <c r="F11" s="255"/>
      <c r="G11" s="256"/>
    </row>
    <row r="12" spans="1:7" ht="15" thickBot="1">
      <c r="A12" s="257"/>
      <c r="B12" s="260"/>
      <c r="C12" s="260"/>
      <c r="D12" s="260"/>
      <c r="E12" s="260"/>
      <c r="F12" s="260"/>
      <c r="G12" s="260">
        <f>G8</f>
        <v>0</v>
      </c>
    </row>
    <row r="13" spans="1:7" ht="15" thickBot="1">
      <c r="A13" s="257"/>
      <c r="B13" s="261" t="s">
        <v>85</v>
      </c>
      <c r="C13" s="261"/>
      <c r="D13" s="261"/>
      <c r="E13" s="261"/>
      <c r="F13" s="261"/>
      <c r="G13" s="258"/>
    </row>
    <row r="16" spans="1:7" ht="15" customHeight="1"/>
  </sheetData>
  <mergeCells count="15">
    <mergeCell ref="B1:E1"/>
    <mergeCell ref="F2:G2"/>
    <mergeCell ref="B3:E3"/>
    <mergeCell ref="F3:G3"/>
    <mergeCell ref="A5:A6"/>
    <mergeCell ref="B5:B6"/>
    <mergeCell ref="C5:C6"/>
    <mergeCell ref="D5:D6"/>
    <mergeCell ref="E5:E6"/>
    <mergeCell ref="F5:G5"/>
    <mergeCell ref="A7:G7"/>
    <mergeCell ref="B8:F8"/>
    <mergeCell ref="B12:F12"/>
    <mergeCell ref="G12:G13"/>
    <mergeCell ref="B13:F13"/>
  </mergeCells>
  <pageMargins left="0.7" right="0.7" top="0.75" bottom="0.75" header="0.3" footer="0.3"/>
  <pageSetup paperSize="9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workbookViewId="0">
      <selection activeCell="E26" sqref="E26"/>
    </sheetView>
  </sheetViews>
  <sheetFormatPr defaultRowHeight="14.4"/>
  <cols>
    <col min="1" max="1" width="7.109375" bestFit="1" customWidth="1"/>
    <col min="2" max="2" width="37.6640625" bestFit="1" customWidth="1"/>
    <col min="3" max="3" width="3.6640625" bestFit="1" customWidth="1"/>
    <col min="4" max="4" width="7.88671875" bestFit="1" customWidth="1"/>
    <col min="5" max="5" width="12.6640625" bestFit="1" customWidth="1"/>
    <col min="6" max="6" width="11.44140625" bestFit="1" customWidth="1"/>
    <col min="7" max="7" width="12" customWidth="1"/>
  </cols>
  <sheetData>
    <row r="1" spans="1:7">
      <c r="A1" s="59" t="s">
        <v>10</v>
      </c>
      <c r="B1" s="270" t="s">
        <v>11</v>
      </c>
      <c r="C1" s="270"/>
      <c r="D1" s="270"/>
      <c r="E1" s="270"/>
      <c r="F1" s="60"/>
      <c r="G1" s="61"/>
    </row>
    <row r="2" spans="1:7">
      <c r="A2" s="59" t="s">
        <v>12</v>
      </c>
      <c r="B2" s="62"/>
      <c r="C2" s="61"/>
      <c r="D2" s="61"/>
      <c r="E2" s="63"/>
      <c r="F2" s="271"/>
      <c r="G2" s="271"/>
    </row>
    <row r="3" spans="1:7">
      <c r="A3" s="59" t="s">
        <v>13</v>
      </c>
      <c r="B3" s="270" t="s">
        <v>104</v>
      </c>
      <c r="C3" s="270"/>
      <c r="D3" s="270"/>
      <c r="E3" s="270"/>
      <c r="F3" s="271" t="s">
        <v>15</v>
      </c>
      <c r="G3" s="271"/>
    </row>
    <row r="4" spans="1:7" ht="15" thickBot="1">
      <c r="A4" s="61"/>
      <c r="B4" s="62"/>
      <c r="C4" s="61"/>
      <c r="D4" s="61"/>
      <c r="E4" s="64"/>
      <c r="F4" s="64"/>
      <c r="G4" s="61"/>
    </row>
    <row r="5" spans="1:7" ht="15" thickBot="1">
      <c r="A5" s="266" t="s">
        <v>16</v>
      </c>
      <c r="B5" s="266" t="s">
        <v>17</v>
      </c>
      <c r="C5" s="266" t="s">
        <v>18</v>
      </c>
      <c r="D5" s="265" t="s">
        <v>19</v>
      </c>
      <c r="E5" s="275" t="s">
        <v>20</v>
      </c>
      <c r="F5" s="266" t="s">
        <v>21</v>
      </c>
      <c r="G5" s="266"/>
    </row>
    <row r="6" spans="1:7" ht="15" thickBot="1">
      <c r="A6" s="266"/>
      <c r="B6" s="266" t="s">
        <v>22</v>
      </c>
      <c r="C6" s="266" t="s">
        <v>23</v>
      </c>
      <c r="D6" s="265" t="s">
        <v>24</v>
      </c>
      <c r="E6" s="275"/>
      <c r="F6" s="65" t="s">
        <v>25</v>
      </c>
      <c r="G6" s="66" t="s">
        <v>26</v>
      </c>
    </row>
    <row r="7" spans="1:7" ht="15" thickBot="1">
      <c r="A7" s="266"/>
      <c r="B7" s="266"/>
      <c r="C7" s="266"/>
      <c r="D7" s="266"/>
      <c r="E7" s="266"/>
      <c r="F7" s="266"/>
      <c r="G7" s="266"/>
    </row>
    <row r="8" spans="1:7" ht="15" thickBot="1">
      <c r="A8" s="67">
        <v>1</v>
      </c>
      <c r="B8" s="269" t="s">
        <v>27</v>
      </c>
      <c r="C8" s="269"/>
      <c r="D8" s="269"/>
      <c r="E8" s="269"/>
      <c r="F8" s="269"/>
      <c r="G8" s="68">
        <f>F10+F11</f>
        <v>0</v>
      </c>
    </row>
    <row r="9" spans="1:7">
      <c r="A9" s="69"/>
      <c r="B9" s="62"/>
      <c r="C9" s="62"/>
      <c r="D9" s="62"/>
      <c r="E9" s="70"/>
      <c r="F9" s="70"/>
      <c r="G9" s="71"/>
    </row>
    <row r="10" spans="1:7" ht="55.2">
      <c r="A10" s="78" t="s">
        <v>28</v>
      </c>
      <c r="B10" s="73" t="s">
        <v>105</v>
      </c>
      <c r="C10" s="74" t="s">
        <v>106</v>
      </c>
      <c r="D10" s="75">
        <f>0.15*(109.13)</f>
        <v>16.369499999999999</v>
      </c>
      <c r="E10" s="76"/>
      <c r="F10" s="76">
        <f>D10*E10</f>
        <v>0</v>
      </c>
      <c r="G10" s="77"/>
    </row>
    <row r="11" spans="1:7" ht="55.2">
      <c r="A11" s="78" t="s">
        <v>107</v>
      </c>
      <c r="B11" s="73" t="s">
        <v>108</v>
      </c>
      <c r="C11" s="74" t="s">
        <v>109</v>
      </c>
      <c r="D11" s="75">
        <f>(1.2*1)</f>
        <v>1.2</v>
      </c>
      <c r="E11" s="76"/>
      <c r="F11" s="76">
        <f>D11*E11</f>
        <v>0</v>
      </c>
      <c r="G11" s="77"/>
    </row>
    <row r="12" spans="1:7" ht="15" thickBot="1">
      <c r="A12" s="79"/>
      <c r="B12" s="80"/>
      <c r="C12" s="80"/>
      <c r="D12" s="80"/>
      <c r="E12" s="81"/>
      <c r="F12" s="81"/>
      <c r="G12" s="82"/>
    </row>
    <row r="13" spans="1:7" ht="15" thickBot="1">
      <c r="A13" s="67">
        <v>2</v>
      </c>
      <c r="B13" s="269" t="s">
        <v>31</v>
      </c>
      <c r="C13" s="269"/>
      <c r="D13" s="269"/>
      <c r="E13" s="269"/>
      <c r="F13" s="269"/>
      <c r="G13" s="68">
        <f>F16+F17</f>
        <v>0</v>
      </c>
    </row>
    <row r="14" spans="1:7">
      <c r="A14" s="101"/>
      <c r="B14" s="142"/>
      <c r="C14" s="142"/>
      <c r="D14" s="142"/>
      <c r="E14" s="143"/>
      <c r="F14" s="143"/>
      <c r="G14" s="144"/>
    </row>
    <row r="15" spans="1:7" ht="96.6">
      <c r="A15" s="105" t="s">
        <v>32</v>
      </c>
      <c r="B15" s="145" t="s">
        <v>33</v>
      </c>
      <c r="C15" s="146"/>
      <c r="D15" s="92"/>
      <c r="E15" s="93"/>
      <c r="F15" s="93"/>
      <c r="G15" s="147"/>
    </row>
    <row r="16" spans="1:7" ht="15">
      <c r="A16" s="72" t="s">
        <v>34</v>
      </c>
      <c r="B16" s="111" t="s">
        <v>35</v>
      </c>
      <c r="C16" s="74" t="s">
        <v>106</v>
      </c>
      <c r="D16" s="75">
        <f>0.2*0.4*(2.63+3.1+2.6+2.6+2.63+2.63+3.1+2.6+2.63+1.91+3.79+2.36+2.36+1.68+1.68+2.25+2.93+2.93+4.4+4.4+4.4+4.4)</f>
        <v>5.1208</v>
      </c>
      <c r="E16" s="76"/>
      <c r="F16" s="76">
        <f>D16*E16</f>
        <v>0</v>
      </c>
      <c r="G16" s="113"/>
    </row>
    <row r="17" spans="1:7" ht="15">
      <c r="A17" s="72" t="s">
        <v>37</v>
      </c>
      <c r="B17" s="111" t="s">
        <v>38</v>
      </c>
      <c r="C17" s="74" t="s">
        <v>106</v>
      </c>
      <c r="D17" s="75">
        <f>0.15*(6.2+14.91+4.37+7.62+13.63+11.44)</f>
        <v>8.7255000000000003</v>
      </c>
      <c r="E17" s="76"/>
      <c r="F17" s="76">
        <f>D17*E17</f>
        <v>0</v>
      </c>
      <c r="G17" s="113"/>
    </row>
    <row r="18" spans="1:7" ht="15" thickBot="1">
      <c r="A18" s="114"/>
      <c r="B18" s="115"/>
      <c r="C18" s="115"/>
      <c r="D18" s="115"/>
      <c r="E18" s="116"/>
      <c r="F18" s="116"/>
      <c r="G18" s="117"/>
    </row>
    <row r="19" spans="1:7" ht="15" thickBot="1">
      <c r="A19" s="67">
        <v>3</v>
      </c>
      <c r="B19" s="269" t="s">
        <v>39</v>
      </c>
      <c r="C19" s="269"/>
      <c r="D19" s="269"/>
      <c r="E19" s="269"/>
      <c r="F19" s="269"/>
      <c r="G19" s="68">
        <f>F21</f>
        <v>0</v>
      </c>
    </row>
    <row r="20" spans="1:7">
      <c r="A20" s="118"/>
      <c r="B20" s="119"/>
      <c r="C20" s="119"/>
      <c r="D20" s="119"/>
      <c r="E20" s="120"/>
      <c r="F20" s="120"/>
      <c r="G20" s="121"/>
    </row>
    <row r="21" spans="1:7" ht="82.8">
      <c r="A21" s="122" t="s">
        <v>40</v>
      </c>
      <c r="B21" s="123" t="s">
        <v>110</v>
      </c>
      <c r="C21" s="74" t="s">
        <v>109</v>
      </c>
      <c r="D21" s="75">
        <f>(0.2*(2.63+3.1+2.6+2.6+2.63+2.63+3.1+2.6+2.63+1.91+3.79+2.36+2.36+1.68+1.68+2.25+2.93+2.93+4.4+4.4+4.4+4.4))</f>
        <v>12.802</v>
      </c>
      <c r="E21" s="76"/>
      <c r="F21" s="76">
        <f>D21*E21</f>
        <v>0</v>
      </c>
      <c r="G21" s="113"/>
    </row>
    <row r="22" spans="1:7" ht="15" thickBot="1">
      <c r="A22" s="124"/>
      <c r="B22" s="125"/>
      <c r="C22" s="97"/>
      <c r="D22" s="98"/>
      <c r="E22" s="99"/>
      <c r="F22" s="99"/>
      <c r="G22" s="126"/>
    </row>
    <row r="23" spans="1:7" ht="15" thickBot="1">
      <c r="A23" s="67">
        <v>4</v>
      </c>
      <c r="B23" s="272" t="s">
        <v>42</v>
      </c>
      <c r="C23" s="273"/>
      <c r="D23" s="273"/>
      <c r="E23" s="273"/>
      <c r="F23" s="274"/>
      <c r="G23" s="68">
        <f>F25+F26</f>
        <v>0</v>
      </c>
    </row>
    <row r="24" spans="1:7">
      <c r="A24" s="127"/>
      <c r="B24" s="128"/>
      <c r="C24" s="85"/>
      <c r="D24" s="86"/>
      <c r="E24" s="87"/>
      <c r="F24" s="87"/>
      <c r="G24" s="129"/>
    </row>
    <row r="25" spans="1:7" ht="69">
      <c r="A25" s="72" t="s">
        <v>43</v>
      </c>
      <c r="B25" s="199" t="s">
        <v>111</v>
      </c>
      <c r="C25" s="74" t="s">
        <v>109</v>
      </c>
      <c r="D25" s="75">
        <f>(1*(3.98+4.19))</f>
        <v>8.17</v>
      </c>
      <c r="E25" s="76"/>
      <c r="F25" s="76">
        <f>D25*E25</f>
        <v>0</v>
      </c>
      <c r="G25" s="113"/>
    </row>
    <row r="26" spans="1:7" ht="27.6">
      <c r="A26" s="72" t="s">
        <v>45</v>
      </c>
      <c r="B26" s="199" t="s">
        <v>112</v>
      </c>
      <c r="C26" s="74" t="s">
        <v>109</v>
      </c>
      <c r="D26" s="75">
        <f>(3*(4.94+4.24+4.19))-(0.82*1+0.9*2.1+0.96*2.1+1.07*1)</f>
        <v>34.314</v>
      </c>
      <c r="E26" s="76"/>
      <c r="F26" s="76">
        <f>D26*E26</f>
        <v>0</v>
      </c>
      <c r="G26" s="113"/>
    </row>
    <row r="27" spans="1:7" ht="15" thickBot="1">
      <c r="A27" s="124"/>
      <c r="B27" s="125"/>
      <c r="C27" s="97"/>
      <c r="D27" s="98"/>
      <c r="E27" s="99"/>
      <c r="F27" s="99"/>
      <c r="G27" s="126"/>
    </row>
    <row r="28" spans="1:7" ht="15" thickBot="1">
      <c r="A28" s="67">
        <v>5</v>
      </c>
      <c r="B28" s="269" t="s">
        <v>113</v>
      </c>
      <c r="C28" s="269"/>
      <c r="D28" s="269"/>
      <c r="E28" s="269"/>
      <c r="F28" s="269"/>
      <c r="G28" s="68">
        <f>F30</f>
        <v>0</v>
      </c>
    </row>
    <row r="29" spans="1:7">
      <c r="A29" s="127"/>
      <c r="B29" s="128"/>
      <c r="C29" s="130"/>
      <c r="D29" s="86"/>
      <c r="E29" s="87"/>
      <c r="F29" s="87"/>
      <c r="G29" s="129"/>
    </row>
    <row r="30" spans="1:7" ht="55.2">
      <c r="A30" s="132" t="s">
        <v>52</v>
      </c>
      <c r="B30" s="133" t="s">
        <v>114</v>
      </c>
      <c r="C30" s="134" t="s">
        <v>67</v>
      </c>
      <c r="D30" s="135">
        <v>1</v>
      </c>
      <c r="E30" s="136"/>
      <c r="F30" s="136">
        <f>D30*E30</f>
        <v>0</v>
      </c>
      <c r="G30" s="137"/>
    </row>
    <row r="31" spans="1:7" ht="15" thickBot="1">
      <c r="A31" s="124"/>
      <c r="B31" s="125"/>
      <c r="C31" s="131"/>
      <c r="D31" s="98"/>
      <c r="E31" s="99"/>
      <c r="F31" s="99"/>
      <c r="G31" s="126"/>
    </row>
    <row r="32" spans="1:7" ht="15" thickBot="1">
      <c r="A32" s="200">
        <v>6</v>
      </c>
      <c r="B32" s="268" t="s">
        <v>115</v>
      </c>
      <c r="C32" s="268"/>
      <c r="D32" s="268"/>
      <c r="E32" s="268"/>
      <c r="F32" s="268"/>
      <c r="G32" s="201">
        <f>SUM(F33:F39)</f>
        <v>0</v>
      </c>
    </row>
    <row r="33" spans="1:7">
      <c r="A33" s="202"/>
      <c r="B33" s="203"/>
      <c r="C33" s="204"/>
      <c r="D33" s="205"/>
      <c r="E33" s="206"/>
      <c r="F33" s="206"/>
      <c r="G33" s="207"/>
    </row>
    <row r="34" spans="1:7" ht="69">
      <c r="A34" s="208" t="s">
        <v>65</v>
      </c>
      <c r="B34" s="123" t="s">
        <v>116</v>
      </c>
      <c r="C34" s="209" t="s">
        <v>103</v>
      </c>
      <c r="D34" s="210">
        <v>1</v>
      </c>
      <c r="E34" s="211"/>
      <c r="F34" s="211">
        <f t="shared" ref="F34:F38" si="0">+D34*E34</f>
        <v>0</v>
      </c>
      <c r="G34" s="212"/>
    </row>
    <row r="35" spans="1:7" ht="69">
      <c r="A35" s="208" t="s">
        <v>117</v>
      </c>
      <c r="B35" s="123" t="s">
        <v>118</v>
      </c>
      <c r="C35" s="209" t="s">
        <v>103</v>
      </c>
      <c r="D35" s="210">
        <v>1</v>
      </c>
      <c r="E35" s="211"/>
      <c r="F35" s="211">
        <f t="shared" si="0"/>
        <v>0</v>
      </c>
      <c r="G35" s="212"/>
    </row>
    <row r="36" spans="1:7" ht="69">
      <c r="A36" s="208" t="s">
        <v>119</v>
      </c>
      <c r="B36" s="123" t="s">
        <v>116</v>
      </c>
      <c r="C36" s="209" t="s">
        <v>103</v>
      </c>
      <c r="D36" s="210">
        <v>1</v>
      </c>
      <c r="E36" s="211"/>
      <c r="F36" s="211">
        <f t="shared" si="0"/>
        <v>0</v>
      </c>
      <c r="G36" s="212"/>
    </row>
    <row r="37" spans="1:7" ht="69">
      <c r="A37" s="208" t="s">
        <v>120</v>
      </c>
      <c r="B37" s="123" t="s">
        <v>121</v>
      </c>
      <c r="C37" s="209" t="s">
        <v>103</v>
      </c>
      <c r="D37" s="210">
        <v>1</v>
      </c>
      <c r="E37" s="211"/>
      <c r="F37" s="211">
        <f t="shared" si="0"/>
        <v>0</v>
      </c>
      <c r="G37" s="212"/>
    </row>
    <row r="38" spans="1:7" ht="69">
      <c r="A38" s="208" t="s">
        <v>122</v>
      </c>
      <c r="B38" s="123" t="s">
        <v>123</v>
      </c>
      <c r="C38" s="209" t="s">
        <v>103</v>
      </c>
      <c r="D38" s="210">
        <v>1</v>
      </c>
      <c r="E38" s="211"/>
      <c r="F38" s="211">
        <f t="shared" si="0"/>
        <v>0</v>
      </c>
      <c r="G38" s="212"/>
    </row>
    <row r="39" spans="1:7" ht="15" thickBot="1">
      <c r="A39" s="213"/>
      <c r="B39" s="214"/>
      <c r="C39" s="215"/>
      <c r="D39" s="216"/>
      <c r="E39" s="217"/>
      <c r="F39" s="217"/>
      <c r="G39" s="218"/>
    </row>
    <row r="40" spans="1:7" ht="15" thickBot="1">
      <c r="A40" s="67">
        <v>7</v>
      </c>
      <c r="B40" s="269" t="s">
        <v>124</v>
      </c>
      <c r="C40" s="269"/>
      <c r="D40" s="269"/>
      <c r="E40" s="269"/>
      <c r="F40" s="269"/>
      <c r="G40" s="68">
        <f>F42</f>
        <v>0</v>
      </c>
    </row>
    <row r="41" spans="1:7">
      <c r="A41" s="127"/>
      <c r="B41" s="128"/>
      <c r="C41" s="85"/>
      <c r="D41" s="86"/>
      <c r="E41" s="87"/>
      <c r="F41" s="87"/>
      <c r="G41" s="129"/>
    </row>
    <row r="42" spans="1:7" ht="55.2">
      <c r="A42" s="122" t="s">
        <v>69</v>
      </c>
      <c r="B42" s="123" t="s">
        <v>102</v>
      </c>
      <c r="C42" s="74" t="s">
        <v>103</v>
      </c>
      <c r="D42" s="75">
        <v>1</v>
      </c>
      <c r="E42" s="76"/>
      <c r="F42" s="76">
        <f>D42*E42</f>
        <v>0</v>
      </c>
      <c r="G42" s="113"/>
    </row>
    <row r="43" spans="1:7" ht="15" thickBot="1">
      <c r="A43" s="124"/>
      <c r="B43" s="125"/>
      <c r="C43" s="97"/>
      <c r="D43" s="98"/>
      <c r="E43" s="99"/>
      <c r="F43" s="99"/>
      <c r="G43" s="126"/>
    </row>
    <row r="44" spans="1:7" ht="15" thickBot="1">
      <c r="A44" s="141"/>
      <c r="B44" s="265"/>
      <c r="C44" s="265"/>
      <c r="D44" s="265"/>
      <c r="E44" s="265"/>
      <c r="F44" s="265"/>
      <c r="G44" s="265">
        <f>SUM(G8:G43)</f>
        <v>0</v>
      </c>
    </row>
    <row r="45" spans="1:7" ht="15" thickBot="1">
      <c r="A45" s="141"/>
      <c r="B45" s="267" t="s">
        <v>85</v>
      </c>
      <c r="C45" s="267"/>
      <c r="D45" s="267"/>
      <c r="E45" s="267"/>
      <c r="F45" s="267"/>
      <c r="G45" s="266"/>
    </row>
    <row r="73" ht="15" customHeight="1"/>
  </sheetData>
  <mergeCells count="21">
    <mergeCell ref="B28:F28"/>
    <mergeCell ref="B1:E1"/>
    <mergeCell ref="F2:G2"/>
    <mergeCell ref="B3:E3"/>
    <mergeCell ref="F3:G3"/>
    <mergeCell ref="F5:G5"/>
    <mergeCell ref="A7:G7"/>
    <mergeCell ref="B8:F8"/>
    <mergeCell ref="B13:F13"/>
    <mergeCell ref="B19:F19"/>
    <mergeCell ref="B23:F23"/>
    <mergeCell ref="A5:A6"/>
    <mergeCell ref="B5:B6"/>
    <mergeCell ref="C5:C6"/>
    <mergeCell ref="D5:D6"/>
    <mergeCell ref="E5:E6"/>
    <mergeCell ref="B44:F44"/>
    <mergeCell ref="G44:G45"/>
    <mergeCell ref="B45:F45"/>
    <mergeCell ref="B32:F32"/>
    <mergeCell ref="B40:F4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workbookViewId="0">
      <selection activeCell="E51" sqref="E51"/>
    </sheetView>
  </sheetViews>
  <sheetFormatPr defaultRowHeight="14.4"/>
  <cols>
    <col min="1" max="1" width="7.109375" bestFit="1" customWidth="1"/>
    <col min="2" max="2" width="37.6640625" bestFit="1" customWidth="1"/>
    <col min="3" max="3" width="3.6640625" bestFit="1" customWidth="1"/>
    <col min="4" max="4" width="7.88671875" bestFit="1" customWidth="1"/>
    <col min="5" max="5" width="12.6640625" bestFit="1" customWidth="1"/>
    <col min="6" max="6" width="10.44140625" bestFit="1" customWidth="1"/>
    <col min="7" max="7" width="12" customWidth="1"/>
  </cols>
  <sheetData>
    <row r="1" spans="1:7">
      <c r="A1" s="59" t="s">
        <v>10</v>
      </c>
      <c r="B1" s="270" t="s">
        <v>11</v>
      </c>
      <c r="C1" s="270"/>
      <c r="D1" s="270"/>
      <c r="E1" s="270"/>
      <c r="F1" s="60"/>
      <c r="G1" s="61"/>
    </row>
    <row r="2" spans="1:7">
      <c r="A2" s="59" t="s">
        <v>12</v>
      </c>
      <c r="B2" s="62"/>
      <c r="C2" s="61"/>
      <c r="D2" s="61"/>
      <c r="E2" s="63"/>
      <c r="F2" s="271"/>
      <c r="G2" s="271"/>
    </row>
    <row r="3" spans="1:7">
      <c r="A3" s="59" t="s">
        <v>13</v>
      </c>
      <c r="B3" s="270" t="s">
        <v>125</v>
      </c>
      <c r="C3" s="270"/>
      <c r="D3" s="270"/>
      <c r="E3" s="270"/>
      <c r="F3" s="271" t="s">
        <v>15</v>
      </c>
      <c r="G3" s="271"/>
    </row>
    <row r="4" spans="1:7" ht="15" thickBot="1">
      <c r="A4" s="61"/>
      <c r="B4" s="62"/>
      <c r="C4" s="61"/>
      <c r="D4" s="61"/>
      <c r="E4" s="64"/>
      <c r="F4" s="64"/>
      <c r="G4" s="61"/>
    </row>
    <row r="5" spans="1:7" ht="15" thickBot="1">
      <c r="A5" s="266" t="s">
        <v>16</v>
      </c>
      <c r="B5" s="266" t="s">
        <v>17</v>
      </c>
      <c r="C5" s="266" t="s">
        <v>18</v>
      </c>
      <c r="D5" s="265" t="s">
        <v>19</v>
      </c>
      <c r="E5" s="275" t="s">
        <v>20</v>
      </c>
      <c r="F5" s="266" t="s">
        <v>21</v>
      </c>
      <c r="G5" s="266"/>
    </row>
    <row r="6" spans="1:7" ht="15" thickBot="1">
      <c r="A6" s="266"/>
      <c r="B6" s="266" t="s">
        <v>22</v>
      </c>
      <c r="C6" s="266" t="s">
        <v>23</v>
      </c>
      <c r="D6" s="265" t="s">
        <v>24</v>
      </c>
      <c r="E6" s="275"/>
      <c r="F6" s="65" t="s">
        <v>25</v>
      </c>
      <c r="G6" s="66" t="s">
        <v>26</v>
      </c>
    </row>
    <row r="7" spans="1:7" ht="15" thickBot="1">
      <c r="A7" s="266"/>
      <c r="B7" s="266"/>
      <c r="C7" s="266"/>
      <c r="D7" s="266"/>
      <c r="E7" s="266"/>
      <c r="F7" s="266"/>
      <c r="G7" s="266"/>
    </row>
    <row r="8" spans="1:7" ht="15" thickBot="1">
      <c r="A8" s="67">
        <v>1</v>
      </c>
      <c r="B8" s="269" t="s">
        <v>27</v>
      </c>
      <c r="C8" s="269"/>
      <c r="D8" s="269"/>
      <c r="E8" s="269"/>
      <c r="F8" s="269"/>
      <c r="G8" s="68">
        <f>F10</f>
        <v>0</v>
      </c>
    </row>
    <row r="9" spans="1:7">
      <c r="A9" s="69"/>
      <c r="B9" s="62"/>
      <c r="C9" s="62"/>
      <c r="D9" s="62"/>
      <c r="E9" s="70"/>
      <c r="F9" s="70"/>
      <c r="G9" s="71"/>
    </row>
    <row r="10" spans="1:7" ht="55.2">
      <c r="A10" s="78" t="s">
        <v>28</v>
      </c>
      <c r="B10" s="73" t="s">
        <v>108</v>
      </c>
      <c r="C10" s="74" t="s">
        <v>109</v>
      </c>
      <c r="D10" s="75">
        <f>(2.8*1.23)</f>
        <v>3.444</v>
      </c>
      <c r="E10" s="76"/>
      <c r="F10" s="76">
        <f>D10*E10</f>
        <v>0</v>
      </c>
      <c r="G10" s="77"/>
    </row>
    <row r="11" spans="1:7" ht="15" thickBot="1">
      <c r="A11" s="79"/>
      <c r="B11" s="80"/>
      <c r="C11" s="80"/>
      <c r="D11" s="80"/>
      <c r="E11" s="81"/>
      <c r="F11" s="81"/>
      <c r="G11" s="82"/>
    </row>
    <row r="12" spans="1:7" ht="15" thickBot="1">
      <c r="A12" s="67">
        <v>2</v>
      </c>
      <c r="B12" s="269" t="s">
        <v>126</v>
      </c>
      <c r="C12" s="269"/>
      <c r="D12" s="269"/>
      <c r="E12" s="269"/>
      <c r="F12" s="269"/>
      <c r="G12" s="68">
        <f>F14</f>
        <v>0</v>
      </c>
    </row>
    <row r="13" spans="1:7">
      <c r="A13" s="118"/>
      <c r="B13" s="119"/>
      <c r="C13" s="119"/>
      <c r="D13" s="119"/>
      <c r="E13" s="120"/>
      <c r="F13" s="120"/>
      <c r="G13" s="121"/>
    </row>
    <row r="14" spans="1:7" ht="69">
      <c r="A14" s="122" t="s">
        <v>32</v>
      </c>
      <c r="B14" s="123" t="s">
        <v>41</v>
      </c>
      <c r="C14" s="74" t="s">
        <v>109</v>
      </c>
      <c r="D14" s="75">
        <f>(2.8*(0.61+1.51))</f>
        <v>5.9359999999999999</v>
      </c>
      <c r="E14" s="76"/>
      <c r="F14" s="76">
        <f>D14*E14</f>
        <v>0</v>
      </c>
      <c r="G14" s="113"/>
    </row>
    <row r="15" spans="1:7" ht="15" thickBot="1">
      <c r="A15" s="124"/>
      <c r="B15" s="125"/>
      <c r="C15" s="97"/>
      <c r="D15" s="98"/>
      <c r="E15" s="99"/>
      <c r="F15" s="99"/>
      <c r="G15" s="126"/>
    </row>
    <row r="16" spans="1:7" ht="15" thickBot="1">
      <c r="A16" s="67">
        <v>3</v>
      </c>
      <c r="B16" s="269" t="s">
        <v>127</v>
      </c>
      <c r="C16" s="269"/>
      <c r="D16" s="269"/>
      <c r="E16" s="269"/>
      <c r="F16" s="269"/>
      <c r="G16" s="68">
        <f>SUM(F17:F23)</f>
        <v>0</v>
      </c>
    </row>
    <row r="17" spans="1:7">
      <c r="A17" s="127"/>
      <c r="B17" s="128"/>
      <c r="C17" s="85"/>
      <c r="D17" s="86"/>
      <c r="E17" s="87"/>
      <c r="F17" s="87"/>
      <c r="G17" s="129"/>
    </row>
    <row r="18" spans="1:7" ht="69">
      <c r="A18" s="208" t="s">
        <v>40</v>
      </c>
      <c r="B18" s="199" t="s">
        <v>128</v>
      </c>
      <c r="C18" s="209" t="s">
        <v>109</v>
      </c>
      <c r="D18" s="210">
        <f>(2.8*6.32)-(1.48*1+0.92*2.1)</f>
        <v>14.283999999999999</v>
      </c>
      <c r="E18" s="76"/>
      <c r="F18" s="211">
        <f>+D18*E18</f>
        <v>0</v>
      </c>
      <c r="G18" s="212"/>
    </row>
    <row r="19" spans="1:7" ht="69">
      <c r="A19" s="208" t="s">
        <v>129</v>
      </c>
      <c r="B19" s="199" t="s">
        <v>111</v>
      </c>
      <c r="C19" s="209" t="s">
        <v>109</v>
      </c>
      <c r="D19" s="210">
        <f>(2.8*(0.81+1.51))</f>
        <v>6.4960000000000004</v>
      </c>
      <c r="E19" s="76"/>
      <c r="F19" s="211">
        <f>+D19*E19</f>
        <v>0</v>
      </c>
      <c r="G19" s="212"/>
    </row>
    <row r="20" spans="1:7" ht="27.6">
      <c r="A20" s="208" t="s">
        <v>130</v>
      </c>
      <c r="B20" s="199" t="s">
        <v>112</v>
      </c>
      <c r="C20" s="209" t="s">
        <v>109</v>
      </c>
      <c r="D20" s="210">
        <f>(2.8*6.32)-(1.48*1+0.92*2.1)</f>
        <v>14.283999999999999</v>
      </c>
      <c r="E20" s="76"/>
      <c r="F20" s="211">
        <f>+D20*E20</f>
        <v>0</v>
      </c>
      <c r="G20" s="212"/>
    </row>
    <row r="21" spans="1:7" ht="27.6">
      <c r="A21" s="208" t="s">
        <v>131</v>
      </c>
      <c r="B21" s="199" t="s">
        <v>132</v>
      </c>
      <c r="C21" s="209" t="s">
        <v>109</v>
      </c>
      <c r="D21" s="210">
        <f>(2.8*(2.05+1.84+4.49+4.48))-(0.92*2.1+0.9*2.1+0.93*2.1)+(2.8*(3.45+1.83+1.48+0.86+5.21+2.36+0.75+1.39+2.5+1.51))-(0.93*2.1+0.8*2.1+0.86*2.1+0.78*2.1+1.1*1+0.6*2.1)</f>
        <v>80.547999999999988</v>
      </c>
      <c r="E21" s="76"/>
      <c r="F21" s="211">
        <f>+D21*E21</f>
        <v>0</v>
      </c>
      <c r="G21" s="212"/>
    </row>
    <row r="22" spans="1:7" ht="27.6">
      <c r="A22" s="208" t="s">
        <v>133</v>
      </c>
      <c r="B22" s="123" t="s">
        <v>48</v>
      </c>
      <c r="C22" s="74" t="s">
        <v>109</v>
      </c>
      <c r="D22" s="75">
        <f>(6.12+5.63+11.44+2.63)</f>
        <v>25.819999999999997</v>
      </c>
      <c r="E22" s="76"/>
      <c r="F22" s="76">
        <f>D22*E22</f>
        <v>0</v>
      </c>
      <c r="G22" s="113"/>
    </row>
    <row r="23" spans="1:7" ht="15" thickBot="1">
      <c r="A23" s="124"/>
      <c r="B23" s="125"/>
      <c r="C23" s="97"/>
      <c r="D23" s="98"/>
      <c r="E23" s="99"/>
      <c r="F23" s="99"/>
      <c r="G23" s="126"/>
    </row>
    <row r="24" spans="1:7" ht="15" thickBot="1">
      <c r="A24" s="67">
        <v>4</v>
      </c>
      <c r="B24" s="269" t="s">
        <v>134</v>
      </c>
      <c r="C24" s="269"/>
      <c r="D24" s="269"/>
      <c r="E24" s="269"/>
      <c r="F24" s="269"/>
      <c r="G24" s="68">
        <f>SUM(F25:F34)</f>
        <v>0</v>
      </c>
    </row>
    <row r="25" spans="1:7">
      <c r="A25" s="127"/>
      <c r="B25" s="128"/>
      <c r="C25" s="130"/>
      <c r="D25" s="86"/>
      <c r="E25" s="87"/>
      <c r="F25" s="87"/>
      <c r="G25" s="129"/>
    </row>
    <row r="26" spans="1:7">
      <c r="A26" s="122" t="s">
        <v>43</v>
      </c>
      <c r="B26" s="219" t="s">
        <v>135</v>
      </c>
      <c r="C26" s="220"/>
      <c r="D26" s="220"/>
      <c r="E26" s="220"/>
      <c r="F26" s="220"/>
      <c r="G26" s="221"/>
    </row>
    <row r="27" spans="1:7" ht="69">
      <c r="A27" s="122" t="s">
        <v>136</v>
      </c>
      <c r="B27" s="199" t="s">
        <v>111</v>
      </c>
      <c r="C27" s="74" t="s">
        <v>109</v>
      </c>
      <c r="D27" s="75">
        <f>(2.8*(1.31+0.61))</f>
        <v>5.3759999999999994</v>
      </c>
      <c r="E27" s="76"/>
      <c r="F27" s="76">
        <f>D27*E27</f>
        <v>0</v>
      </c>
      <c r="G27" s="113"/>
    </row>
    <row r="28" spans="1:7" ht="27.6">
      <c r="A28" s="122" t="s">
        <v>137</v>
      </c>
      <c r="B28" s="199" t="s">
        <v>132</v>
      </c>
      <c r="C28" s="209" t="s">
        <v>109</v>
      </c>
      <c r="D28" s="75">
        <f>(2.8*(1.31+0.61))-(0.8*2.1+0.8*2.1)</f>
        <v>2.0159999999999991</v>
      </c>
      <c r="E28" s="76"/>
      <c r="F28" s="211">
        <f>D28*E28</f>
        <v>0</v>
      </c>
      <c r="G28" s="212"/>
    </row>
    <row r="29" spans="1:7" ht="55.2">
      <c r="A29" s="122" t="s">
        <v>138</v>
      </c>
      <c r="B29" s="123" t="s">
        <v>60</v>
      </c>
      <c r="C29" s="74" t="s">
        <v>109</v>
      </c>
      <c r="D29" s="75">
        <f>(2.1*(0.8+0.8))</f>
        <v>3.3600000000000003</v>
      </c>
      <c r="E29" s="76"/>
      <c r="F29" s="76">
        <f t="shared" ref="F29:F30" si="0">D29*E29</f>
        <v>0</v>
      </c>
      <c r="G29" s="113"/>
    </row>
    <row r="30" spans="1:7" ht="55.2">
      <c r="A30" s="122" t="s">
        <v>139</v>
      </c>
      <c r="B30" s="123" t="s">
        <v>63</v>
      </c>
      <c r="C30" s="74" t="s">
        <v>109</v>
      </c>
      <c r="D30" s="210">
        <f>0.39</f>
        <v>0.39</v>
      </c>
      <c r="E30" s="76"/>
      <c r="F30" s="76">
        <f t="shared" si="0"/>
        <v>0</v>
      </c>
      <c r="G30" s="113"/>
    </row>
    <row r="31" spans="1:7">
      <c r="A31" s="122" t="s">
        <v>45</v>
      </c>
      <c r="B31" s="222" t="s">
        <v>53</v>
      </c>
      <c r="C31" s="222"/>
      <c r="D31" s="222"/>
      <c r="E31" s="222"/>
      <c r="F31" s="222"/>
      <c r="G31" s="223"/>
    </row>
    <row r="32" spans="1:7" ht="69">
      <c r="A32" s="122" t="s">
        <v>140</v>
      </c>
      <c r="B32" s="123" t="s">
        <v>55</v>
      </c>
      <c r="C32" s="74" t="s">
        <v>141</v>
      </c>
      <c r="D32" s="75">
        <v>1</v>
      </c>
      <c r="E32" s="76"/>
      <c r="F32" s="76">
        <f>D32*E32</f>
        <v>0</v>
      </c>
      <c r="G32" s="113"/>
    </row>
    <row r="33" spans="1:7" ht="69">
      <c r="A33" s="122" t="s">
        <v>142</v>
      </c>
      <c r="B33" s="123" t="s">
        <v>143</v>
      </c>
      <c r="C33" s="74" t="s">
        <v>141</v>
      </c>
      <c r="D33" s="75">
        <v>1</v>
      </c>
      <c r="E33" s="76"/>
      <c r="F33" s="76">
        <f>D33*E33</f>
        <v>0</v>
      </c>
      <c r="G33" s="113"/>
    </row>
    <row r="34" spans="1:7" ht="15" thickBot="1">
      <c r="A34" s="124"/>
      <c r="B34" s="125"/>
      <c r="C34" s="131"/>
      <c r="D34" s="98"/>
      <c r="E34" s="99"/>
      <c r="F34" s="99"/>
      <c r="G34" s="126"/>
    </row>
    <row r="35" spans="1:7" ht="15" thickBot="1">
      <c r="A35" s="67">
        <v>5</v>
      </c>
      <c r="B35" s="269" t="s">
        <v>113</v>
      </c>
      <c r="C35" s="269"/>
      <c r="D35" s="269"/>
      <c r="E35" s="269"/>
      <c r="F35" s="269"/>
      <c r="G35" s="68">
        <f>F37</f>
        <v>0</v>
      </c>
    </row>
    <row r="36" spans="1:7">
      <c r="A36" s="127"/>
      <c r="B36" s="128"/>
      <c r="C36" s="130"/>
      <c r="D36" s="86"/>
      <c r="E36" s="87"/>
      <c r="F36" s="87"/>
      <c r="G36" s="129"/>
    </row>
    <row r="37" spans="1:7" ht="55.2">
      <c r="A37" s="132" t="s">
        <v>52</v>
      </c>
      <c r="B37" s="133" t="s">
        <v>114</v>
      </c>
      <c r="C37" s="134" t="s">
        <v>67</v>
      </c>
      <c r="D37" s="135">
        <v>1</v>
      </c>
      <c r="E37" s="136"/>
      <c r="F37" s="136">
        <f>D37*E37</f>
        <v>0</v>
      </c>
      <c r="G37" s="137"/>
    </row>
    <row r="38" spans="1:7" ht="15" thickBot="1">
      <c r="A38" s="124"/>
      <c r="B38" s="125"/>
      <c r="C38" s="131"/>
      <c r="D38" s="98"/>
      <c r="E38" s="99"/>
      <c r="F38" s="99"/>
      <c r="G38" s="126"/>
    </row>
    <row r="39" spans="1:7" ht="15" thickBot="1">
      <c r="A39" s="67">
        <v>6</v>
      </c>
      <c r="B39" s="269" t="s">
        <v>144</v>
      </c>
      <c r="C39" s="269"/>
      <c r="D39" s="269"/>
      <c r="E39" s="269"/>
      <c r="F39" s="269"/>
      <c r="G39" s="68">
        <f>F41+F42</f>
        <v>0</v>
      </c>
    </row>
    <row r="40" spans="1:7">
      <c r="A40" s="127"/>
      <c r="B40" s="128"/>
      <c r="C40" s="85"/>
      <c r="D40" s="86"/>
      <c r="E40" s="87"/>
      <c r="F40" s="87"/>
      <c r="G40" s="129"/>
    </row>
    <row r="41" spans="1:7" ht="69">
      <c r="A41" s="122" t="s">
        <v>65</v>
      </c>
      <c r="B41" s="123" t="s">
        <v>145</v>
      </c>
      <c r="C41" s="134" t="s">
        <v>67</v>
      </c>
      <c r="D41" s="75">
        <v>1</v>
      </c>
      <c r="E41" s="76"/>
      <c r="F41" s="76">
        <f>D41*E41</f>
        <v>0</v>
      </c>
      <c r="G41" s="113"/>
    </row>
    <row r="42" spans="1:7" ht="55.2">
      <c r="A42" s="122" t="s">
        <v>117</v>
      </c>
      <c r="B42" s="123" t="s">
        <v>74</v>
      </c>
      <c r="C42" s="134" t="s">
        <v>67</v>
      </c>
      <c r="D42" s="75">
        <v>1</v>
      </c>
      <c r="E42" s="76"/>
      <c r="F42" s="76">
        <f>D42*E42</f>
        <v>0</v>
      </c>
      <c r="G42" s="113"/>
    </row>
    <row r="43" spans="1:7" ht="15" thickBot="1">
      <c r="A43" s="124"/>
      <c r="B43" s="138"/>
      <c r="C43" s="139"/>
      <c r="D43" s="140"/>
      <c r="E43" s="99"/>
      <c r="F43" s="99"/>
      <c r="G43" s="126"/>
    </row>
    <row r="44" spans="1:7" ht="15" thickBot="1">
      <c r="A44" s="67">
        <v>7</v>
      </c>
      <c r="B44" s="269" t="s">
        <v>146</v>
      </c>
      <c r="C44" s="269"/>
      <c r="D44" s="269"/>
      <c r="E44" s="269"/>
      <c r="F44" s="269"/>
      <c r="G44" s="68">
        <f>F46+F47</f>
        <v>0</v>
      </c>
    </row>
    <row r="45" spans="1:7">
      <c r="A45" s="127"/>
      <c r="B45" s="128"/>
      <c r="C45" s="85"/>
      <c r="D45" s="86"/>
      <c r="E45" s="87"/>
      <c r="F45" s="87"/>
      <c r="G45" s="129"/>
    </row>
    <row r="46" spans="1:7" ht="82.8">
      <c r="A46" s="122" t="s">
        <v>69</v>
      </c>
      <c r="B46" s="123" t="s">
        <v>147</v>
      </c>
      <c r="C46" s="74" t="s">
        <v>67</v>
      </c>
      <c r="D46" s="75">
        <v>1</v>
      </c>
      <c r="E46" s="76"/>
      <c r="F46" s="76">
        <f>D46*E46</f>
        <v>0</v>
      </c>
      <c r="G46" s="113"/>
    </row>
    <row r="47" spans="1:7" ht="69">
      <c r="A47" s="122" t="s">
        <v>71</v>
      </c>
      <c r="B47" s="123" t="s">
        <v>148</v>
      </c>
      <c r="C47" s="74" t="s">
        <v>67</v>
      </c>
      <c r="D47" s="75">
        <v>1</v>
      </c>
      <c r="E47" s="76"/>
      <c r="F47" s="76">
        <f>D47*E47</f>
        <v>0</v>
      </c>
      <c r="G47" s="113"/>
    </row>
    <row r="48" spans="1:7" ht="15" thickBot="1">
      <c r="A48" s="124"/>
      <c r="B48" s="138"/>
      <c r="C48" s="139"/>
      <c r="D48" s="140"/>
      <c r="E48" s="99"/>
      <c r="F48" s="99"/>
      <c r="G48" s="126"/>
    </row>
    <row r="49" spans="1:7" ht="15" thickBot="1">
      <c r="A49" s="67">
        <v>8</v>
      </c>
      <c r="B49" s="269" t="s">
        <v>75</v>
      </c>
      <c r="C49" s="269"/>
      <c r="D49" s="269"/>
      <c r="E49" s="269"/>
      <c r="F49" s="269"/>
      <c r="G49" s="68">
        <f>F51+F52</f>
        <v>0</v>
      </c>
    </row>
    <row r="50" spans="1:7">
      <c r="A50" s="127"/>
      <c r="B50" s="128"/>
      <c r="C50" s="85"/>
      <c r="D50" s="86"/>
      <c r="E50" s="87"/>
      <c r="F50" s="87"/>
      <c r="G50" s="129"/>
    </row>
    <row r="51" spans="1:7" ht="69">
      <c r="A51" s="122" t="s">
        <v>76</v>
      </c>
      <c r="B51" s="153" t="s">
        <v>149</v>
      </c>
      <c r="C51" s="74" t="s">
        <v>67</v>
      </c>
      <c r="D51" s="75">
        <v>1</v>
      </c>
      <c r="E51" s="76"/>
      <c r="F51" s="76">
        <f>D51*E51</f>
        <v>0</v>
      </c>
      <c r="G51" s="113"/>
    </row>
    <row r="52" spans="1:7" ht="55.2">
      <c r="A52" s="122" t="s">
        <v>78</v>
      </c>
      <c r="B52" s="123" t="s">
        <v>60</v>
      </c>
      <c r="C52" s="74" t="s">
        <v>109</v>
      </c>
      <c r="D52" s="75">
        <f>(0.6*1.8)</f>
        <v>1.08</v>
      </c>
      <c r="E52" s="76"/>
      <c r="F52" s="76">
        <f t="shared" ref="F52" si="1">D52*E52</f>
        <v>0</v>
      </c>
      <c r="G52" s="113"/>
    </row>
    <row r="53" spans="1:7" ht="15" thickBot="1">
      <c r="A53" s="154"/>
      <c r="B53" s="155"/>
      <c r="C53" s="156"/>
      <c r="D53" s="157"/>
      <c r="E53" s="158"/>
      <c r="F53" s="158"/>
      <c r="G53" s="159"/>
    </row>
    <row r="54" spans="1:7" ht="15" thickBot="1">
      <c r="A54" s="67">
        <v>9</v>
      </c>
      <c r="B54" s="269" t="s">
        <v>150</v>
      </c>
      <c r="C54" s="269"/>
      <c r="D54" s="269"/>
      <c r="E54" s="269"/>
      <c r="F54" s="269"/>
      <c r="G54" s="68">
        <f>F56</f>
        <v>0</v>
      </c>
    </row>
    <row r="55" spans="1:7">
      <c r="A55" s="127"/>
      <c r="B55" s="128"/>
      <c r="C55" s="85"/>
      <c r="D55" s="86"/>
      <c r="E55" s="87"/>
      <c r="F55" s="87"/>
      <c r="G55" s="129"/>
    </row>
    <row r="56" spans="1:7" ht="55.2">
      <c r="A56" s="122" t="s">
        <v>80</v>
      </c>
      <c r="B56" s="123" t="s">
        <v>102</v>
      </c>
      <c r="C56" s="74" t="s">
        <v>103</v>
      </c>
      <c r="D56" s="75">
        <v>1</v>
      </c>
      <c r="E56" s="76"/>
      <c r="F56" s="76">
        <f>D56*E56</f>
        <v>0</v>
      </c>
      <c r="G56" s="113"/>
    </row>
    <row r="57" spans="1:7" ht="15" thickBot="1">
      <c r="A57" s="124"/>
      <c r="B57" s="125"/>
      <c r="C57" s="97"/>
      <c r="D57" s="98"/>
      <c r="E57" s="99"/>
      <c r="F57" s="99"/>
      <c r="G57" s="126"/>
    </row>
    <row r="58" spans="1:7" ht="15" thickBot="1">
      <c r="A58" s="141"/>
      <c r="B58" s="265"/>
      <c r="C58" s="265"/>
      <c r="D58" s="265"/>
      <c r="E58" s="265"/>
      <c r="F58" s="265"/>
      <c r="G58" s="265">
        <f>SUM(G8:G57)</f>
        <v>0</v>
      </c>
    </row>
    <row r="59" spans="1:7" ht="15" thickBot="1">
      <c r="A59" s="141"/>
      <c r="B59" s="267" t="s">
        <v>85</v>
      </c>
      <c r="C59" s="267"/>
      <c r="D59" s="267"/>
      <c r="E59" s="267"/>
      <c r="F59" s="267"/>
      <c r="G59" s="266"/>
    </row>
    <row r="73" ht="15" customHeight="1"/>
  </sheetData>
  <mergeCells count="23">
    <mergeCell ref="A7:G7"/>
    <mergeCell ref="B8:F8"/>
    <mergeCell ref="B12:F12"/>
    <mergeCell ref="B16:F16"/>
    <mergeCell ref="A5:A6"/>
    <mergeCell ref="B5:B6"/>
    <mergeCell ref="C5:C6"/>
    <mergeCell ref="D5:D6"/>
    <mergeCell ref="E5:E6"/>
    <mergeCell ref="B1:E1"/>
    <mergeCell ref="F2:G2"/>
    <mergeCell ref="B3:E3"/>
    <mergeCell ref="F3:G3"/>
    <mergeCell ref="F5:G5"/>
    <mergeCell ref="G58:G59"/>
    <mergeCell ref="B59:F59"/>
    <mergeCell ref="B24:F24"/>
    <mergeCell ref="B35:F35"/>
    <mergeCell ref="B49:F49"/>
    <mergeCell ref="B54:F54"/>
    <mergeCell ref="B58:F58"/>
    <mergeCell ref="B39:F39"/>
    <mergeCell ref="B44:F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74"/>
  <sheetViews>
    <sheetView workbookViewId="0">
      <selection activeCell="B5" sqref="B5"/>
    </sheetView>
  </sheetViews>
  <sheetFormatPr defaultRowHeight="14.4"/>
  <cols>
    <col min="2" max="2" width="40.5546875" customWidth="1"/>
    <col min="5" max="5" width="12.109375" customWidth="1"/>
    <col min="6" max="6" width="11.5546875" customWidth="1"/>
    <col min="7" max="7" width="13.5546875" customWidth="1"/>
  </cols>
  <sheetData>
    <row r="1" spans="1:7">
      <c r="A1" s="160"/>
      <c r="E1" s="161"/>
      <c r="F1" s="161"/>
    </row>
    <row r="2" spans="1:7">
      <c r="A2" s="62" t="s">
        <v>9</v>
      </c>
      <c r="B2" s="62"/>
      <c r="C2" s="162"/>
      <c r="D2" s="162"/>
      <c r="E2" s="63"/>
      <c r="F2" s="163"/>
      <c r="G2" s="162"/>
    </row>
    <row r="3" spans="1:7">
      <c r="A3" s="59" t="s">
        <v>10</v>
      </c>
      <c r="B3" s="62" t="s">
        <v>11</v>
      </c>
      <c r="C3" s="61"/>
      <c r="E3" s="70"/>
      <c r="F3" s="60"/>
      <c r="G3" s="61"/>
    </row>
    <row r="4" spans="1:7">
      <c r="A4" s="59" t="s">
        <v>12</v>
      </c>
      <c r="B4" s="62"/>
      <c r="C4" s="61"/>
      <c r="D4" s="61"/>
      <c r="E4" s="63"/>
      <c r="F4" s="271"/>
      <c r="G4" s="271"/>
    </row>
    <row r="5" spans="1:7">
      <c r="A5" s="59" t="s">
        <v>13</v>
      </c>
      <c r="B5" s="62" t="s">
        <v>220</v>
      </c>
      <c r="C5" s="61"/>
      <c r="D5" s="61"/>
      <c r="E5" s="63"/>
      <c r="F5" s="271" t="s">
        <v>15</v>
      </c>
      <c r="G5" s="271"/>
    </row>
    <row r="6" spans="1:7" ht="15" thickBot="1">
      <c r="A6" s="61"/>
      <c r="B6" s="62"/>
      <c r="C6" s="61"/>
      <c r="D6" s="61"/>
      <c r="E6" s="64"/>
      <c r="F6" s="64"/>
      <c r="G6" s="61"/>
    </row>
    <row r="7" spans="1:7" ht="15" thickBot="1">
      <c r="A7" s="288" t="s">
        <v>16</v>
      </c>
      <c r="B7" s="288" t="s">
        <v>17</v>
      </c>
      <c r="C7" s="288" t="s">
        <v>18</v>
      </c>
      <c r="D7" s="290" t="s">
        <v>19</v>
      </c>
      <c r="E7" s="292" t="s">
        <v>20</v>
      </c>
      <c r="F7" s="294" t="s">
        <v>21</v>
      </c>
      <c r="G7" s="295"/>
    </row>
    <row r="8" spans="1:7" ht="15" thickBot="1">
      <c r="A8" s="289"/>
      <c r="B8" s="289" t="s">
        <v>22</v>
      </c>
      <c r="C8" s="289" t="s">
        <v>23</v>
      </c>
      <c r="D8" s="291" t="s">
        <v>24</v>
      </c>
      <c r="E8" s="293"/>
      <c r="F8" s="164" t="s">
        <v>25</v>
      </c>
      <c r="G8" s="165" t="s">
        <v>26</v>
      </c>
    </row>
    <row r="9" spans="1:7">
      <c r="A9" s="296"/>
      <c r="B9" s="297"/>
      <c r="C9" s="297"/>
      <c r="D9" s="297"/>
      <c r="E9" s="297"/>
      <c r="F9" s="297"/>
      <c r="G9" s="298"/>
    </row>
    <row r="10" spans="1:7">
      <c r="A10" s="166">
        <v>1</v>
      </c>
      <c r="B10" s="276" t="s">
        <v>27</v>
      </c>
      <c r="C10" s="277"/>
      <c r="D10" s="277"/>
      <c r="E10" s="277"/>
      <c r="F10" s="278"/>
      <c r="G10" s="167">
        <f>+SUM(F12:F12)</f>
        <v>0</v>
      </c>
    </row>
    <row r="11" spans="1:7">
      <c r="A11" s="168"/>
      <c r="B11" s="169"/>
      <c r="C11" s="169"/>
      <c r="D11" s="169"/>
      <c r="E11" s="170"/>
      <c r="F11" s="170"/>
      <c r="G11" s="171"/>
    </row>
    <row r="12" spans="1:7" ht="66" customHeight="1">
      <c r="A12" s="72" t="s">
        <v>28</v>
      </c>
      <c r="B12" s="73" t="s">
        <v>221</v>
      </c>
      <c r="C12" s="74" t="s">
        <v>109</v>
      </c>
      <c r="D12" s="75">
        <f>50.54</f>
        <v>50.54</v>
      </c>
      <c r="E12" s="76"/>
      <c r="F12" s="76">
        <f>+D12*E12</f>
        <v>0</v>
      </c>
      <c r="G12" s="77"/>
    </row>
    <row r="13" spans="1:7" ht="13.5" customHeight="1">
      <c r="A13" s="72"/>
      <c r="B13" s="73"/>
      <c r="C13" s="74"/>
      <c r="D13" s="75"/>
      <c r="E13" s="76"/>
      <c r="F13" s="76"/>
      <c r="G13" s="77"/>
    </row>
    <row r="14" spans="1:7">
      <c r="A14" s="166">
        <v>2</v>
      </c>
      <c r="B14" s="276" t="s">
        <v>31</v>
      </c>
      <c r="C14" s="277"/>
      <c r="D14" s="277"/>
      <c r="E14" s="277"/>
      <c r="F14" s="278"/>
      <c r="G14" s="167">
        <f>SUM(F16:F18)</f>
        <v>0</v>
      </c>
    </row>
    <row r="15" spans="1:7" ht="13.5" customHeight="1">
      <c r="A15" s="168"/>
      <c r="B15" s="169"/>
      <c r="C15" s="169"/>
      <c r="D15" s="169"/>
      <c r="E15" s="170"/>
      <c r="F15" s="170"/>
      <c r="G15" s="171"/>
    </row>
    <row r="16" spans="1:7" ht="103.5" customHeight="1">
      <c r="A16" s="110" t="s">
        <v>32</v>
      </c>
      <c r="B16" s="111" t="s">
        <v>33</v>
      </c>
      <c r="C16" s="112"/>
      <c r="D16" s="75"/>
      <c r="E16" s="76"/>
      <c r="F16" s="76"/>
      <c r="G16" s="113"/>
    </row>
    <row r="17" spans="1:7" ht="15">
      <c r="A17" s="72" t="s">
        <v>34</v>
      </c>
      <c r="B17" s="111" t="s">
        <v>35</v>
      </c>
      <c r="C17" s="74" t="s">
        <v>106</v>
      </c>
      <c r="D17" s="75">
        <f>((3.55+3.5+5.18+5.11+1.7+1.55+3.15+1.25+4.14+3.15*2+1.25+4.14)*0.2*0.4)</f>
        <v>3.2656000000000001</v>
      </c>
      <c r="E17" s="76"/>
      <c r="F17" s="76">
        <f>D17*E17</f>
        <v>0</v>
      </c>
      <c r="G17" s="113"/>
    </row>
    <row r="18" spans="1:7" ht="15.75" customHeight="1">
      <c r="A18" s="72" t="s">
        <v>37</v>
      </c>
      <c r="B18" s="111" t="s">
        <v>38</v>
      </c>
      <c r="C18" s="74" t="s">
        <v>106</v>
      </c>
      <c r="D18" s="75">
        <f>(11.1+6.48+21.3+5.35+1.83)*0.15</f>
        <v>6.9089999999999989</v>
      </c>
      <c r="E18" s="76"/>
      <c r="F18" s="76">
        <f>D18*E18</f>
        <v>0</v>
      </c>
      <c r="G18" s="113"/>
    </row>
    <row r="19" spans="1:7">
      <c r="A19" s="172"/>
      <c r="B19" s="173"/>
      <c r="C19" s="173"/>
      <c r="D19" s="173"/>
      <c r="E19" s="174"/>
      <c r="F19" s="174"/>
      <c r="G19" s="175"/>
    </row>
    <row r="20" spans="1:7">
      <c r="A20" s="166">
        <v>3</v>
      </c>
      <c r="B20" s="276" t="s">
        <v>39</v>
      </c>
      <c r="C20" s="277"/>
      <c r="D20" s="277"/>
      <c r="E20" s="277"/>
      <c r="F20" s="278"/>
      <c r="G20" s="167">
        <f>+SUM(F22:F23)</f>
        <v>0</v>
      </c>
    </row>
    <row r="21" spans="1:7">
      <c r="A21" s="168"/>
      <c r="B21" s="169"/>
      <c r="C21" s="169"/>
      <c r="D21" s="169"/>
      <c r="E21" s="170"/>
      <c r="F21" s="170"/>
      <c r="G21" s="171"/>
    </row>
    <row r="22" spans="1:7" ht="62.25" customHeight="1">
      <c r="A22" s="122" t="s">
        <v>40</v>
      </c>
      <c r="B22" s="123" t="s">
        <v>222</v>
      </c>
      <c r="C22" s="74" t="s">
        <v>109</v>
      </c>
      <c r="D22" s="75">
        <f>((3.3+2.9)*2.96)+(5.87*1.4)</f>
        <v>26.569999999999997</v>
      </c>
      <c r="E22" s="76"/>
      <c r="F22" s="76">
        <f>D22*E22</f>
        <v>0</v>
      </c>
      <c r="G22" s="113"/>
    </row>
    <row r="23" spans="1:7" ht="72.75" customHeight="1">
      <c r="A23" s="122" t="s">
        <v>129</v>
      </c>
      <c r="B23" s="123" t="s">
        <v>223</v>
      </c>
      <c r="C23" s="74" t="s">
        <v>109</v>
      </c>
      <c r="D23" s="75">
        <f>(5.6+9.14*2+5.46)*0.4</f>
        <v>11.736000000000002</v>
      </c>
      <c r="E23" s="76"/>
      <c r="F23" s="76">
        <f>D23*E23</f>
        <v>0</v>
      </c>
      <c r="G23" s="113"/>
    </row>
    <row r="24" spans="1:7">
      <c r="A24" s="122"/>
      <c r="B24" s="123"/>
      <c r="C24" s="74"/>
      <c r="D24" s="75"/>
      <c r="E24" s="76"/>
      <c r="F24" s="76"/>
      <c r="G24" s="113"/>
    </row>
    <row r="25" spans="1:7">
      <c r="A25" s="166">
        <v>4</v>
      </c>
      <c r="B25" s="276" t="s">
        <v>42</v>
      </c>
      <c r="C25" s="277"/>
      <c r="D25" s="277"/>
      <c r="E25" s="277"/>
      <c r="F25" s="278"/>
      <c r="G25" s="167">
        <f>SUM(F27:F28)</f>
        <v>0</v>
      </c>
    </row>
    <row r="26" spans="1:7">
      <c r="A26" s="122"/>
      <c r="B26" s="123"/>
      <c r="C26" s="74"/>
      <c r="D26" s="75"/>
      <c r="E26" s="76"/>
      <c r="F26" s="76"/>
      <c r="G26" s="113"/>
    </row>
    <row r="27" spans="1:7" ht="73.5" customHeight="1">
      <c r="A27" s="122" t="s">
        <v>43</v>
      </c>
      <c r="B27" s="123" t="s">
        <v>44</v>
      </c>
      <c r="C27" s="74" t="s">
        <v>109</v>
      </c>
      <c r="D27" s="76">
        <f>((2*2+2.04*2+3.2*2+2.05+5.72+5.84)*2.96-(0.85*2.1*2+0.43*0.4*2+0.77*2.1*2+0.9*2.1*2+1.4*1.28))</f>
        <v>70.426400000000001</v>
      </c>
      <c r="E27" s="76"/>
      <c r="F27" s="76">
        <f>+D27*E27</f>
        <v>0</v>
      </c>
      <c r="G27" s="113"/>
    </row>
    <row r="28" spans="1:7" ht="42.75" customHeight="1">
      <c r="A28" s="122" t="s">
        <v>45</v>
      </c>
      <c r="B28" s="123" t="s">
        <v>224</v>
      </c>
      <c r="C28" s="74" t="s">
        <v>109</v>
      </c>
      <c r="D28" s="75">
        <f>((9.14)*2.96)</f>
        <v>27.054400000000001</v>
      </c>
      <c r="E28" s="76"/>
      <c r="F28" s="76">
        <f>+D28*E28</f>
        <v>0</v>
      </c>
      <c r="G28" s="113"/>
    </row>
    <row r="29" spans="1:7">
      <c r="A29" s="122"/>
      <c r="B29" s="123"/>
      <c r="C29" s="74"/>
      <c r="D29" s="75"/>
      <c r="E29" s="76"/>
      <c r="F29" s="76"/>
      <c r="G29" s="113"/>
    </row>
    <row r="30" spans="1:7">
      <c r="A30" s="166">
        <v>5</v>
      </c>
      <c r="B30" s="276" t="s">
        <v>225</v>
      </c>
      <c r="C30" s="277"/>
      <c r="D30" s="277"/>
      <c r="E30" s="277"/>
      <c r="F30" s="278"/>
      <c r="G30" s="167">
        <f>+SUM(F32:F39)</f>
        <v>0</v>
      </c>
    </row>
    <row r="31" spans="1:7">
      <c r="A31" s="122"/>
      <c r="B31" s="123"/>
      <c r="C31" s="176"/>
      <c r="D31" s="75"/>
      <c r="E31" s="76"/>
      <c r="F31" s="76"/>
      <c r="G31" s="113"/>
    </row>
    <row r="32" spans="1:7" ht="16.5" customHeight="1">
      <c r="A32" s="177" t="s">
        <v>52</v>
      </c>
      <c r="B32" s="178" t="s">
        <v>135</v>
      </c>
      <c r="C32" s="74"/>
      <c r="D32" s="75"/>
      <c r="E32" s="76"/>
      <c r="F32" s="76"/>
      <c r="G32" s="113"/>
    </row>
    <row r="33" spans="1:7" ht="57" customHeight="1">
      <c r="A33" s="122" t="s">
        <v>54</v>
      </c>
      <c r="B33" s="123" t="s">
        <v>226</v>
      </c>
      <c r="C33" s="74" t="s">
        <v>109</v>
      </c>
      <c r="D33" s="75">
        <f>4.22</f>
        <v>4.22</v>
      </c>
      <c r="E33" s="76"/>
      <c r="F33" s="76">
        <f t="shared" ref="F33:F35" si="0">D33*E33</f>
        <v>0</v>
      </c>
      <c r="G33" s="113"/>
    </row>
    <row r="34" spans="1:7" ht="59.25" customHeight="1">
      <c r="A34" s="122" t="s">
        <v>57</v>
      </c>
      <c r="B34" s="123" t="s">
        <v>63</v>
      </c>
      <c r="C34" s="74" t="s">
        <v>109</v>
      </c>
      <c r="D34" s="75">
        <f>D33</f>
        <v>4.22</v>
      </c>
      <c r="E34" s="76"/>
      <c r="F34" s="76">
        <f t="shared" si="0"/>
        <v>0</v>
      </c>
      <c r="G34" s="113"/>
    </row>
    <row r="35" spans="1:7" ht="63.75" customHeight="1">
      <c r="A35" s="122" t="s">
        <v>59</v>
      </c>
      <c r="B35" s="123" t="s">
        <v>60</v>
      </c>
      <c r="C35" s="74" t="s">
        <v>109</v>
      </c>
      <c r="D35" s="75">
        <f>(0.8*2)*2.1</f>
        <v>3.3600000000000003</v>
      </c>
      <c r="E35" s="76"/>
      <c r="F35" s="76">
        <f t="shared" si="0"/>
        <v>0</v>
      </c>
      <c r="G35" s="113"/>
    </row>
    <row r="36" spans="1:7" ht="21.75" customHeight="1">
      <c r="A36" s="177" t="s">
        <v>205</v>
      </c>
      <c r="B36" s="178" t="s">
        <v>53</v>
      </c>
      <c r="C36" s="74"/>
      <c r="D36" s="75"/>
      <c r="E36" s="76"/>
      <c r="F36" s="76"/>
      <c r="G36" s="113"/>
    </row>
    <row r="37" spans="1:7" ht="79.5" customHeight="1">
      <c r="A37" s="122" t="s">
        <v>227</v>
      </c>
      <c r="B37" s="123" t="s">
        <v>55</v>
      </c>
      <c r="C37" s="74" t="s">
        <v>141</v>
      </c>
      <c r="D37" s="75">
        <v>1</v>
      </c>
      <c r="E37" s="76"/>
      <c r="F37" s="76">
        <f>D37*E37</f>
        <v>0</v>
      </c>
      <c r="G37" s="113"/>
    </row>
    <row r="38" spans="1:7" ht="72" customHeight="1">
      <c r="A38" s="122" t="s">
        <v>228</v>
      </c>
      <c r="B38" s="123" t="s">
        <v>58</v>
      </c>
      <c r="C38" s="74" t="s">
        <v>141</v>
      </c>
      <c r="D38" s="75">
        <v>1</v>
      </c>
      <c r="E38" s="76"/>
      <c r="F38" s="76">
        <f>D38*E38</f>
        <v>0</v>
      </c>
      <c r="G38" s="113"/>
    </row>
    <row r="39" spans="1:7" ht="72" customHeight="1">
      <c r="A39" s="122" t="s">
        <v>229</v>
      </c>
      <c r="B39" s="123" t="s">
        <v>143</v>
      </c>
      <c r="C39" s="74" t="s">
        <v>141</v>
      </c>
      <c r="D39" s="75">
        <v>1</v>
      </c>
      <c r="E39" s="76"/>
      <c r="F39" s="76">
        <f>D39*E39</f>
        <v>0</v>
      </c>
      <c r="G39" s="113"/>
    </row>
    <row r="40" spans="1:7" ht="18.75" customHeight="1">
      <c r="A40" s="177"/>
      <c r="B40" s="123"/>
      <c r="C40" s="74"/>
      <c r="D40" s="75"/>
      <c r="E40" s="76"/>
      <c r="F40" s="76"/>
      <c r="G40" s="113"/>
    </row>
    <row r="41" spans="1:7">
      <c r="A41" s="166">
        <v>7</v>
      </c>
      <c r="B41" s="276" t="s">
        <v>169</v>
      </c>
      <c r="C41" s="277"/>
      <c r="D41" s="277"/>
      <c r="E41" s="277"/>
      <c r="F41" s="278"/>
      <c r="G41" s="167">
        <f>+SUM(F43:F43)</f>
        <v>0</v>
      </c>
    </row>
    <row r="42" spans="1:7" ht="13.5" customHeight="1">
      <c r="A42" s="122"/>
      <c r="B42" s="123"/>
      <c r="C42" s="176"/>
      <c r="D42" s="75"/>
      <c r="E42" s="76"/>
      <c r="F42" s="76"/>
      <c r="G42" s="113"/>
    </row>
    <row r="43" spans="1:7" ht="59.25" customHeight="1">
      <c r="A43" s="122" t="s">
        <v>69</v>
      </c>
      <c r="B43" s="179" t="s">
        <v>230</v>
      </c>
      <c r="C43" s="74" t="s">
        <v>67</v>
      </c>
      <c r="D43" s="75">
        <v>1</v>
      </c>
      <c r="E43" s="76"/>
      <c r="F43" s="76">
        <f>D43*E43</f>
        <v>0</v>
      </c>
      <c r="G43" s="113"/>
    </row>
    <row r="44" spans="1:7">
      <c r="A44" s="122"/>
      <c r="B44" s="123"/>
      <c r="C44" s="176"/>
      <c r="D44" s="75"/>
      <c r="E44" s="76"/>
      <c r="F44" s="76"/>
      <c r="G44" s="113"/>
    </row>
    <row r="45" spans="1:7">
      <c r="A45" s="166">
        <v>8</v>
      </c>
      <c r="B45" s="276" t="s">
        <v>231</v>
      </c>
      <c r="C45" s="277"/>
      <c r="D45" s="277"/>
      <c r="E45" s="277"/>
      <c r="F45" s="278"/>
      <c r="G45" s="167">
        <f>+SUM(F47)</f>
        <v>0</v>
      </c>
    </row>
    <row r="46" spans="1:7">
      <c r="A46" s="122"/>
      <c r="B46" s="123"/>
      <c r="C46" s="176"/>
      <c r="D46" s="75"/>
      <c r="E46" s="76"/>
      <c r="F46" s="76"/>
      <c r="G46" s="113"/>
    </row>
    <row r="47" spans="1:7" ht="51.75" customHeight="1">
      <c r="A47" s="122" t="s">
        <v>76</v>
      </c>
      <c r="B47" s="123" t="s">
        <v>232</v>
      </c>
      <c r="C47" s="74" t="s">
        <v>67</v>
      </c>
      <c r="D47" s="75">
        <v>1</v>
      </c>
      <c r="E47" s="76"/>
      <c r="F47" s="76">
        <f>D47*E47</f>
        <v>0</v>
      </c>
      <c r="G47" s="113"/>
    </row>
    <row r="48" spans="1:7" ht="16.5" customHeight="1">
      <c r="A48" s="122"/>
      <c r="B48" s="123"/>
      <c r="C48" s="74"/>
      <c r="D48" s="75"/>
      <c r="E48" s="76"/>
      <c r="F48" s="76"/>
      <c r="G48" s="113"/>
    </row>
    <row r="49" spans="1:7" ht="16.5" customHeight="1">
      <c r="A49" s="166">
        <v>9</v>
      </c>
      <c r="B49" s="276" t="s">
        <v>172</v>
      </c>
      <c r="C49" s="277"/>
      <c r="D49" s="277"/>
      <c r="E49" s="277"/>
      <c r="F49" s="278"/>
      <c r="G49" s="167">
        <f>+SUM(F51:F52)</f>
        <v>0</v>
      </c>
    </row>
    <row r="50" spans="1:7">
      <c r="A50" s="122"/>
      <c r="B50" s="123"/>
      <c r="C50" s="74"/>
      <c r="D50" s="75"/>
      <c r="E50" s="76"/>
      <c r="F50" s="76"/>
      <c r="G50" s="113"/>
    </row>
    <row r="51" spans="1:7" ht="69" customHeight="1">
      <c r="A51" s="122" t="s">
        <v>80</v>
      </c>
      <c r="B51" s="153" t="s">
        <v>233</v>
      </c>
      <c r="C51" s="74" t="s">
        <v>67</v>
      </c>
      <c r="D51" s="75">
        <v>1</v>
      </c>
      <c r="E51" s="76"/>
      <c r="F51" s="76">
        <f>E51</f>
        <v>0</v>
      </c>
      <c r="G51" s="113"/>
    </row>
    <row r="52" spans="1:7" ht="55.2">
      <c r="A52" s="122" t="s">
        <v>95</v>
      </c>
      <c r="B52" s="179" t="s">
        <v>213</v>
      </c>
      <c r="C52" s="74" t="s">
        <v>67</v>
      </c>
      <c r="D52" s="75">
        <v>1</v>
      </c>
      <c r="E52" s="76"/>
      <c r="F52" s="76">
        <f>D52*E52</f>
        <v>0</v>
      </c>
      <c r="G52" s="113"/>
    </row>
    <row r="53" spans="1:7" ht="75.75" customHeight="1">
      <c r="A53" s="122"/>
      <c r="B53" s="123"/>
      <c r="C53" s="74"/>
      <c r="D53" s="75"/>
      <c r="E53" s="76"/>
      <c r="F53" s="76"/>
      <c r="G53" s="113"/>
    </row>
    <row r="54" spans="1:7" ht="16.5" customHeight="1">
      <c r="A54" s="166">
        <v>10</v>
      </c>
      <c r="B54" s="276" t="s">
        <v>177</v>
      </c>
      <c r="C54" s="277"/>
      <c r="D54" s="277"/>
      <c r="E54" s="277"/>
      <c r="F54" s="278"/>
      <c r="G54" s="167">
        <f>+SUM(F56:F57)</f>
        <v>0</v>
      </c>
    </row>
    <row r="55" spans="1:7" ht="16.5" customHeight="1">
      <c r="A55" s="122"/>
      <c r="B55" s="123"/>
      <c r="C55" s="74"/>
      <c r="D55" s="75"/>
      <c r="E55" s="76"/>
      <c r="F55" s="76"/>
      <c r="G55" s="113"/>
    </row>
    <row r="56" spans="1:7" ht="16.5" customHeight="1">
      <c r="A56" s="122" t="s">
        <v>83</v>
      </c>
      <c r="B56" s="153" t="s">
        <v>234</v>
      </c>
      <c r="C56" s="74" t="s">
        <v>67</v>
      </c>
      <c r="D56" s="75">
        <v>1</v>
      </c>
      <c r="E56" s="76"/>
      <c r="F56" s="76">
        <f>+D56*E56</f>
        <v>0</v>
      </c>
      <c r="G56" s="113"/>
    </row>
    <row r="57" spans="1:7" ht="66.75" customHeight="1">
      <c r="A57" s="122" t="s">
        <v>178</v>
      </c>
      <c r="B57" s="179" t="s">
        <v>60</v>
      </c>
      <c r="C57" s="74" t="s">
        <v>109</v>
      </c>
      <c r="D57" s="75">
        <f>(1.8*0.6)</f>
        <v>1.08</v>
      </c>
      <c r="E57" s="76"/>
      <c r="F57" s="76">
        <f t="shared" ref="F57" si="1">D57*E57</f>
        <v>0</v>
      </c>
      <c r="G57" s="113"/>
    </row>
    <row r="58" spans="1:7" ht="16.5" customHeight="1">
      <c r="A58" s="122"/>
      <c r="B58" s="123"/>
      <c r="C58" s="74"/>
      <c r="D58" s="75"/>
      <c r="E58" s="76"/>
      <c r="F58" s="76"/>
      <c r="G58" s="113"/>
    </row>
    <row r="59" spans="1:7">
      <c r="A59" s="180">
        <v>11</v>
      </c>
      <c r="B59" s="287" t="s">
        <v>235</v>
      </c>
      <c r="C59" s="287"/>
      <c r="D59" s="287"/>
      <c r="E59" s="287"/>
      <c r="F59" s="287"/>
      <c r="G59" s="181">
        <f>+SUM(F61:F65)</f>
        <v>0</v>
      </c>
    </row>
    <row r="60" spans="1:7">
      <c r="A60" s="182"/>
      <c r="B60" s="183"/>
      <c r="C60" s="184"/>
      <c r="D60" s="185"/>
      <c r="E60" s="186"/>
      <c r="F60" s="186"/>
      <c r="G60" s="187"/>
    </row>
    <row r="61" spans="1:7" ht="55.2">
      <c r="A61" s="188" t="s">
        <v>99</v>
      </c>
      <c r="B61" s="179" t="s">
        <v>236</v>
      </c>
      <c r="C61" s="224" t="s">
        <v>103</v>
      </c>
      <c r="D61" s="225">
        <v>3</v>
      </c>
      <c r="E61" s="226"/>
      <c r="F61" s="76">
        <f t="shared" ref="F61:F66" si="2">D61*E61</f>
        <v>0</v>
      </c>
      <c r="G61" s="227"/>
    </row>
    <row r="62" spans="1:7" ht="55.2">
      <c r="A62" s="188" t="s">
        <v>101</v>
      </c>
      <c r="B62" s="179" t="s">
        <v>237</v>
      </c>
      <c r="C62" s="224" t="s">
        <v>103</v>
      </c>
      <c r="D62" s="225">
        <v>1</v>
      </c>
      <c r="E62" s="226"/>
      <c r="F62" s="76">
        <f t="shared" si="2"/>
        <v>0</v>
      </c>
      <c r="G62" s="227"/>
    </row>
    <row r="63" spans="1:7" ht="55.2">
      <c r="A63" s="188" t="s">
        <v>182</v>
      </c>
      <c r="B63" s="179" t="s">
        <v>238</v>
      </c>
      <c r="C63" s="224" t="s">
        <v>103</v>
      </c>
      <c r="D63" s="225">
        <v>1</v>
      </c>
      <c r="E63" s="226"/>
      <c r="F63" s="76">
        <f t="shared" si="2"/>
        <v>0</v>
      </c>
      <c r="G63" s="227"/>
    </row>
    <row r="64" spans="1:7" ht="55.2">
      <c r="A64" s="188" t="s">
        <v>184</v>
      </c>
      <c r="B64" s="179" t="s">
        <v>239</v>
      </c>
      <c r="C64" s="224" t="s">
        <v>103</v>
      </c>
      <c r="D64" s="225">
        <v>1</v>
      </c>
      <c r="E64" s="226"/>
      <c r="F64" s="76">
        <f t="shared" si="2"/>
        <v>0</v>
      </c>
      <c r="G64" s="227"/>
    </row>
    <row r="65" spans="1:7" ht="55.2">
      <c r="A65" s="188" t="s">
        <v>186</v>
      </c>
      <c r="B65" s="179" t="s">
        <v>240</v>
      </c>
      <c r="C65" s="74" t="s">
        <v>103</v>
      </c>
      <c r="D65" s="228">
        <v>1</v>
      </c>
      <c r="E65" s="123"/>
      <c r="F65" s="76">
        <f t="shared" si="2"/>
        <v>0</v>
      </c>
      <c r="G65" s="227"/>
    </row>
    <row r="66" spans="1:7" ht="55.2">
      <c r="A66" s="188" t="s">
        <v>241</v>
      </c>
      <c r="B66" s="179" t="s">
        <v>242</v>
      </c>
      <c r="C66" s="74" t="s">
        <v>103</v>
      </c>
      <c r="D66" s="228">
        <v>1</v>
      </c>
      <c r="E66" s="123"/>
      <c r="F66" s="76">
        <f t="shared" si="2"/>
        <v>0</v>
      </c>
      <c r="G66" s="229"/>
    </row>
    <row r="67" spans="1:7">
      <c r="A67" s="230"/>
      <c r="B67" s="133"/>
      <c r="C67" s="134"/>
      <c r="D67" s="135"/>
      <c r="E67" s="136"/>
      <c r="F67" s="136"/>
      <c r="G67" s="137"/>
    </row>
    <row r="68" spans="1:7">
      <c r="A68" s="166">
        <v>12</v>
      </c>
      <c r="B68" s="276" t="s">
        <v>188</v>
      </c>
      <c r="C68" s="277"/>
      <c r="D68" s="277"/>
      <c r="E68" s="277"/>
      <c r="F68" s="278"/>
      <c r="G68" s="167">
        <f>SUM(F70:F71)</f>
        <v>0</v>
      </c>
    </row>
    <row r="69" spans="1:7">
      <c r="A69" s="231"/>
      <c r="B69" s="183"/>
      <c r="C69" s="184"/>
      <c r="D69" s="185"/>
      <c r="E69" s="186"/>
      <c r="F69" s="186"/>
      <c r="G69" s="187"/>
    </row>
    <row r="70" spans="1:7" ht="41.4">
      <c r="A70" s="232" t="s">
        <v>189</v>
      </c>
      <c r="B70" s="123" t="s">
        <v>243</v>
      </c>
      <c r="C70" s="74" t="s">
        <v>103</v>
      </c>
      <c r="D70" s="75">
        <v>1</v>
      </c>
      <c r="E70" s="93"/>
      <c r="F70" s="93">
        <f>D70*E70</f>
        <v>0</v>
      </c>
      <c r="G70" s="147"/>
    </row>
    <row r="71" spans="1:7" ht="41.4">
      <c r="A71" s="232" t="s">
        <v>191</v>
      </c>
      <c r="B71" s="133" t="s">
        <v>244</v>
      </c>
      <c r="C71" s="74" t="s">
        <v>103</v>
      </c>
      <c r="D71" s="75">
        <v>1</v>
      </c>
      <c r="E71" s="93"/>
      <c r="F71" s="93">
        <f>D71*E71</f>
        <v>0</v>
      </c>
      <c r="G71" s="147"/>
    </row>
    <row r="72" spans="1:7" ht="15" thickBot="1">
      <c r="A72" s="189"/>
      <c r="B72" s="189"/>
      <c r="C72" s="189"/>
      <c r="D72" s="189"/>
      <c r="E72" s="190"/>
      <c r="F72" s="190"/>
      <c r="G72" s="191"/>
    </row>
    <row r="73" spans="1:7">
      <c r="A73" s="192"/>
      <c r="B73" s="279"/>
      <c r="C73" s="280"/>
      <c r="D73" s="280"/>
      <c r="E73" s="280"/>
      <c r="F73" s="281"/>
      <c r="G73" s="282">
        <f>+SUM(G10:G72)</f>
        <v>0</v>
      </c>
    </row>
    <row r="74" spans="1:7" ht="15" thickBot="1">
      <c r="A74" s="193"/>
      <c r="B74" s="284" t="s">
        <v>85</v>
      </c>
      <c r="C74" s="285"/>
      <c r="D74" s="285"/>
      <c r="E74" s="285"/>
      <c r="F74" s="286"/>
      <c r="G74" s="283"/>
    </row>
  </sheetData>
  <mergeCells count="23">
    <mergeCell ref="A9:G9"/>
    <mergeCell ref="B10:F10"/>
    <mergeCell ref="B14:F14"/>
    <mergeCell ref="B20:F20"/>
    <mergeCell ref="B25:F25"/>
    <mergeCell ref="F4:G4"/>
    <mergeCell ref="F5:G5"/>
    <mergeCell ref="A7:A8"/>
    <mergeCell ref="B7:B8"/>
    <mergeCell ref="C7:C8"/>
    <mergeCell ref="D7:D8"/>
    <mergeCell ref="E7:E8"/>
    <mergeCell ref="F7:G7"/>
    <mergeCell ref="B68:F68"/>
    <mergeCell ref="B73:F73"/>
    <mergeCell ref="G73:G74"/>
    <mergeCell ref="B74:F74"/>
    <mergeCell ref="B30:F30"/>
    <mergeCell ref="B41:F41"/>
    <mergeCell ref="B45:F45"/>
    <mergeCell ref="B49:F49"/>
    <mergeCell ref="B54:F54"/>
    <mergeCell ref="B59:F59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workbookViewId="0">
      <selection activeCell="K10" sqref="K10"/>
    </sheetView>
  </sheetViews>
  <sheetFormatPr defaultRowHeight="14.4"/>
  <cols>
    <col min="1" max="1" width="7.109375" bestFit="1" customWidth="1"/>
    <col min="2" max="2" width="37.6640625" bestFit="1" customWidth="1"/>
    <col min="3" max="3" width="3.6640625" bestFit="1" customWidth="1"/>
    <col min="4" max="4" width="7.88671875" bestFit="1" customWidth="1"/>
    <col min="5" max="5" width="12.6640625" bestFit="1" customWidth="1"/>
    <col min="6" max="6" width="11.44140625" bestFit="1" customWidth="1"/>
    <col min="7" max="7" width="12" customWidth="1"/>
  </cols>
  <sheetData>
    <row r="1" spans="1:7">
      <c r="A1" s="59" t="s">
        <v>10</v>
      </c>
      <c r="B1" s="270" t="s">
        <v>11</v>
      </c>
      <c r="C1" s="270"/>
      <c r="D1" s="270"/>
      <c r="E1" s="270"/>
      <c r="F1" s="60"/>
      <c r="G1" s="61"/>
    </row>
    <row r="2" spans="1:7">
      <c r="A2" s="59" t="s">
        <v>12</v>
      </c>
      <c r="B2" s="62"/>
      <c r="C2" s="61"/>
      <c r="D2" s="61"/>
      <c r="E2" s="63"/>
      <c r="F2" s="271"/>
      <c r="G2" s="271"/>
    </row>
    <row r="3" spans="1:7">
      <c r="A3" s="59" t="s">
        <v>13</v>
      </c>
      <c r="B3" s="270" t="s">
        <v>151</v>
      </c>
      <c r="C3" s="270"/>
      <c r="D3" s="270"/>
      <c r="E3" s="270"/>
      <c r="F3" s="271" t="s">
        <v>15</v>
      </c>
      <c r="G3" s="271"/>
    </row>
    <row r="4" spans="1:7" ht="15" thickBot="1">
      <c r="A4" s="61"/>
      <c r="B4" s="62"/>
      <c r="C4" s="61"/>
      <c r="D4" s="61"/>
      <c r="E4" s="64"/>
      <c r="F4" s="64"/>
      <c r="G4" s="61"/>
    </row>
    <row r="5" spans="1:7" ht="15" thickBot="1">
      <c r="A5" s="266" t="s">
        <v>16</v>
      </c>
      <c r="B5" s="266" t="s">
        <v>17</v>
      </c>
      <c r="C5" s="266" t="s">
        <v>18</v>
      </c>
      <c r="D5" s="265" t="s">
        <v>19</v>
      </c>
      <c r="E5" s="275" t="s">
        <v>20</v>
      </c>
      <c r="F5" s="266" t="s">
        <v>21</v>
      </c>
      <c r="G5" s="266"/>
    </row>
    <row r="6" spans="1:7" ht="15" thickBot="1">
      <c r="A6" s="266"/>
      <c r="B6" s="266" t="s">
        <v>22</v>
      </c>
      <c r="C6" s="266" t="s">
        <v>23</v>
      </c>
      <c r="D6" s="265" t="s">
        <v>24</v>
      </c>
      <c r="E6" s="275"/>
      <c r="F6" s="65" t="s">
        <v>25</v>
      </c>
      <c r="G6" s="66" t="s">
        <v>26</v>
      </c>
    </row>
    <row r="7" spans="1:7" ht="15" thickBot="1">
      <c r="A7" s="266"/>
      <c r="B7" s="266"/>
      <c r="C7" s="266"/>
      <c r="D7" s="266"/>
      <c r="E7" s="266"/>
      <c r="F7" s="266"/>
      <c r="G7" s="266"/>
    </row>
    <row r="8" spans="1:7" ht="15" thickBot="1">
      <c r="A8" s="67">
        <v>1</v>
      </c>
      <c r="B8" s="269" t="s">
        <v>27</v>
      </c>
      <c r="C8" s="269"/>
      <c r="D8" s="269"/>
      <c r="E8" s="269"/>
      <c r="F8" s="269"/>
      <c r="G8" s="68">
        <f>F10+F11</f>
        <v>0</v>
      </c>
    </row>
    <row r="9" spans="1:7">
      <c r="A9" s="69"/>
      <c r="B9" s="62"/>
      <c r="C9" s="62"/>
      <c r="D9" s="62"/>
      <c r="E9" s="70"/>
      <c r="F9" s="70"/>
      <c r="G9" s="71"/>
    </row>
    <row r="10" spans="1:7" ht="55.2">
      <c r="A10" s="72" t="s">
        <v>28</v>
      </c>
      <c r="B10" s="73" t="s">
        <v>105</v>
      </c>
      <c r="C10" s="74" t="s">
        <v>106</v>
      </c>
      <c r="D10" s="75">
        <f>0.15*(124.44)</f>
        <v>18.666</v>
      </c>
      <c r="E10" s="76"/>
      <c r="F10" s="76">
        <f>D10*E10</f>
        <v>0</v>
      </c>
      <c r="G10" s="77"/>
    </row>
    <row r="11" spans="1:7" ht="55.2">
      <c r="A11" s="78" t="s">
        <v>107</v>
      </c>
      <c r="B11" s="73" t="s">
        <v>108</v>
      </c>
      <c r="C11" s="74" t="s">
        <v>109</v>
      </c>
      <c r="D11" s="75">
        <f>(0.68*1+0.2*2.67+0.2*0.2+0.1*0.75)</f>
        <v>1.329</v>
      </c>
      <c r="E11" s="76"/>
      <c r="F11" s="76">
        <f>D11*E11</f>
        <v>0</v>
      </c>
      <c r="G11" s="77"/>
    </row>
    <row r="12" spans="1:7" ht="15" thickBot="1">
      <c r="A12" s="79"/>
      <c r="B12" s="80"/>
      <c r="C12" s="80"/>
      <c r="D12" s="80"/>
      <c r="E12" s="81"/>
      <c r="F12" s="81"/>
      <c r="G12" s="82"/>
    </row>
    <row r="13" spans="1:7" ht="15" thickBot="1">
      <c r="A13" s="67">
        <v>2</v>
      </c>
      <c r="B13" s="269" t="s">
        <v>152</v>
      </c>
      <c r="C13" s="269"/>
      <c r="D13" s="269"/>
      <c r="E13" s="269"/>
      <c r="F13" s="269"/>
      <c r="G13" s="68">
        <f>F15</f>
        <v>0</v>
      </c>
    </row>
    <row r="14" spans="1:7">
      <c r="A14" s="83"/>
      <c r="B14" s="84"/>
      <c r="C14" s="85"/>
      <c r="D14" s="86"/>
      <c r="E14" s="87"/>
      <c r="F14" s="87"/>
      <c r="G14" s="88"/>
    </row>
    <row r="15" spans="1:7" ht="55.2">
      <c r="A15" s="89" t="s">
        <v>32</v>
      </c>
      <c r="B15" s="90" t="s">
        <v>153</v>
      </c>
      <c r="C15" s="91" t="s">
        <v>106</v>
      </c>
      <c r="D15" s="92">
        <f>0.8*0.8*0.4*3</f>
        <v>0.76800000000000024</v>
      </c>
      <c r="E15" s="93"/>
      <c r="F15" s="93">
        <f>D15*E15</f>
        <v>0</v>
      </c>
      <c r="G15" s="94"/>
    </row>
    <row r="16" spans="1:7" ht="15" thickBot="1">
      <c r="A16" s="95"/>
      <c r="B16" s="96"/>
      <c r="C16" s="97"/>
      <c r="D16" s="98"/>
      <c r="E16" s="99"/>
      <c r="F16" s="99"/>
      <c r="G16" s="100"/>
    </row>
    <row r="17" spans="1:7" ht="15" thickBot="1">
      <c r="A17" s="67">
        <v>3</v>
      </c>
      <c r="B17" s="269" t="s">
        <v>154</v>
      </c>
      <c r="C17" s="269"/>
      <c r="D17" s="269"/>
      <c r="E17" s="269"/>
      <c r="F17" s="269"/>
      <c r="G17" s="68">
        <f>F19+F21+F22+F23+F24</f>
        <v>0</v>
      </c>
    </row>
    <row r="18" spans="1:7">
      <c r="A18" s="101"/>
      <c r="B18" s="102"/>
      <c r="C18" s="102"/>
      <c r="D18" s="102"/>
      <c r="E18" s="103"/>
      <c r="F18" s="103"/>
      <c r="G18" s="104"/>
    </row>
    <row r="19" spans="1:7" ht="41.4">
      <c r="A19" s="105" t="s">
        <v>40</v>
      </c>
      <c r="B19" s="106" t="s">
        <v>155</v>
      </c>
      <c r="C19" s="91" t="s">
        <v>109</v>
      </c>
      <c r="D19" s="91">
        <f>0.6*0.6*3</f>
        <v>1.08</v>
      </c>
      <c r="E19" s="107"/>
      <c r="F19" s="108">
        <f>D19*E19</f>
        <v>0</v>
      </c>
      <c r="G19" s="109"/>
    </row>
    <row r="20" spans="1:7" ht="96.6">
      <c r="A20" s="110" t="s">
        <v>129</v>
      </c>
      <c r="B20" s="111" t="s">
        <v>33</v>
      </c>
      <c r="C20" s="112"/>
      <c r="D20" s="75"/>
      <c r="E20" s="76"/>
      <c r="F20" s="76"/>
      <c r="G20" s="113"/>
    </row>
    <row r="21" spans="1:7" ht="15">
      <c r="A21" s="72" t="s">
        <v>156</v>
      </c>
      <c r="B21" s="111" t="s">
        <v>157</v>
      </c>
      <c r="C21" s="74" t="s">
        <v>106</v>
      </c>
      <c r="D21" s="75">
        <f>0.5*0.5*0.4*3</f>
        <v>0.30000000000000004</v>
      </c>
      <c r="E21" s="76"/>
      <c r="F21" s="76">
        <f>D21*E21</f>
        <v>0</v>
      </c>
      <c r="G21" s="113"/>
    </row>
    <row r="22" spans="1:7" ht="15">
      <c r="A22" s="72" t="s">
        <v>158</v>
      </c>
      <c r="B22" s="111" t="s">
        <v>159</v>
      </c>
      <c r="C22" s="74" t="s">
        <v>106</v>
      </c>
      <c r="D22" s="75">
        <f>0.2*0.2*3*3</f>
        <v>0.3600000000000001</v>
      </c>
      <c r="E22" s="76"/>
      <c r="F22" s="76">
        <f>D22*E22</f>
        <v>0</v>
      </c>
      <c r="G22" s="113"/>
    </row>
    <row r="23" spans="1:7" ht="15">
      <c r="A23" s="72" t="s">
        <v>160</v>
      </c>
      <c r="B23" s="111" t="s">
        <v>35</v>
      </c>
      <c r="C23" s="74" t="s">
        <v>106</v>
      </c>
      <c r="D23" s="75">
        <f>0.2*0.4*(2.35+4.56+4.56+2.35+2.5+1.1+2.5+2.5+1.1+5.27+5.27+3.5+3.2+3.2+2.3+2.3+2.78+1.38+1.38)</f>
        <v>4.3280000000000012</v>
      </c>
      <c r="E23" s="76"/>
      <c r="F23" s="76">
        <f>D23*E23</f>
        <v>0</v>
      </c>
      <c r="G23" s="113"/>
    </row>
    <row r="24" spans="1:7" ht="15">
      <c r="A24" s="72" t="s">
        <v>161</v>
      </c>
      <c r="B24" s="111" t="s">
        <v>38</v>
      </c>
      <c r="C24" s="74" t="s">
        <v>106</v>
      </c>
      <c r="D24" s="75">
        <f>0.15*(2.04+12.38+15.96+8+5.75+3.06+3.95)</f>
        <v>7.6710000000000012</v>
      </c>
      <c r="E24" s="76"/>
      <c r="F24" s="76">
        <f>D24*E24</f>
        <v>0</v>
      </c>
      <c r="G24" s="113"/>
    </row>
    <row r="25" spans="1:7" ht="15" thickBot="1">
      <c r="A25" s="114"/>
      <c r="B25" s="115"/>
      <c r="C25" s="115"/>
      <c r="D25" s="115"/>
      <c r="E25" s="116"/>
      <c r="F25" s="116"/>
      <c r="G25" s="117"/>
    </row>
    <row r="26" spans="1:7" ht="15" thickBot="1">
      <c r="A26" s="67">
        <v>4</v>
      </c>
      <c r="B26" s="269" t="s">
        <v>162</v>
      </c>
      <c r="C26" s="269"/>
      <c r="D26" s="269"/>
      <c r="E26" s="269"/>
      <c r="F26" s="269"/>
      <c r="G26" s="68">
        <f>F28+F29</f>
        <v>0</v>
      </c>
    </row>
    <row r="27" spans="1:7">
      <c r="A27" s="118"/>
      <c r="B27" s="119"/>
      <c r="C27" s="119"/>
      <c r="D27" s="119"/>
      <c r="E27" s="120"/>
      <c r="F27" s="120"/>
      <c r="G27" s="121"/>
    </row>
    <row r="28" spans="1:7" ht="96.6">
      <c r="A28" s="122" t="s">
        <v>43</v>
      </c>
      <c r="B28" s="123" t="s">
        <v>110</v>
      </c>
      <c r="C28" s="74" t="s">
        <v>109</v>
      </c>
      <c r="D28" s="75">
        <f>(0.2*(4.56+2.35+3.61+3.61+2.35+2.5+2.35+2.5+1.57+3.5+5.27+3.2+3.2+3+3+2.3+2.3+1.38+1.38))</f>
        <v>10.786000000000001</v>
      </c>
      <c r="E28" s="76"/>
      <c r="F28" s="76">
        <f>D28*E28</f>
        <v>0</v>
      </c>
      <c r="G28" s="113"/>
    </row>
    <row r="29" spans="1:7" ht="69">
      <c r="A29" s="122" t="s">
        <v>45</v>
      </c>
      <c r="B29" s="123" t="s">
        <v>41</v>
      </c>
      <c r="C29" s="74" t="s">
        <v>109</v>
      </c>
      <c r="D29" s="75">
        <f>(2.42*1.8)</f>
        <v>4.3559999999999999</v>
      </c>
      <c r="E29" s="76"/>
      <c r="F29" s="76">
        <f>D29*E29</f>
        <v>0</v>
      </c>
      <c r="G29" s="113"/>
    </row>
    <row r="30" spans="1:7" ht="15" thickBot="1">
      <c r="A30" s="124"/>
      <c r="B30" s="125"/>
      <c r="C30" s="97"/>
      <c r="D30" s="98"/>
      <c r="E30" s="99"/>
      <c r="F30" s="99"/>
      <c r="G30" s="126"/>
    </row>
    <row r="31" spans="1:7" ht="15" thickBot="1">
      <c r="A31" s="67">
        <v>5</v>
      </c>
      <c r="B31" s="269" t="s">
        <v>163</v>
      </c>
      <c r="C31" s="269"/>
      <c r="D31" s="269"/>
      <c r="E31" s="269"/>
      <c r="F31" s="269"/>
      <c r="G31" s="68">
        <f>F33</f>
        <v>0</v>
      </c>
    </row>
    <row r="32" spans="1:7">
      <c r="A32" s="127"/>
      <c r="B32" s="128"/>
      <c r="C32" s="85"/>
      <c r="D32" s="86"/>
      <c r="E32" s="87"/>
      <c r="F32" s="87"/>
      <c r="G32" s="129"/>
    </row>
    <row r="33" spans="1:7" ht="69">
      <c r="A33" s="72" t="s">
        <v>52</v>
      </c>
      <c r="B33" s="199" t="s">
        <v>128</v>
      </c>
      <c r="C33" s="74" t="s">
        <v>109</v>
      </c>
      <c r="D33" s="75">
        <f>(2.67*9.27)-(3.38*1.6+1*1.6+(((1.4+0.6)*1.6)/2))+(2.67*9.27)-(3.38*1.6+1*1.6+(((1.4+0.6)*1.6)/2))+(2.42*1.8)</f>
        <v>36.641799999999996</v>
      </c>
      <c r="E33" s="76"/>
      <c r="F33" s="76">
        <f>D33*E33</f>
        <v>0</v>
      </c>
      <c r="G33" s="113"/>
    </row>
    <row r="34" spans="1:7" ht="15" thickBot="1">
      <c r="A34" s="124"/>
      <c r="B34" s="125"/>
      <c r="C34" s="97"/>
      <c r="D34" s="98"/>
      <c r="E34" s="99"/>
      <c r="F34" s="99"/>
      <c r="G34" s="126"/>
    </row>
    <row r="35" spans="1:7" ht="15" thickBot="1">
      <c r="A35" s="67">
        <v>6</v>
      </c>
      <c r="B35" s="269" t="s">
        <v>164</v>
      </c>
      <c r="C35" s="269"/>
      <c r="D35" s="269"/>
      <c r="E35" s="269"/>
      <c r="F35" s="269"/>
      <c r="G35" s="68">
        <f>SUM(F36:F46)</f>
        <v>0</v>
      </c>
    </row>
    <row r="36" spans="1:7">
      <c r="A36" s="127"/>
      <c r="B36" s="128"/>
      <c r="C36" s="130"/>
      <c r="D36" s="86"/>
      <c r="E36" s="87"/>
      <c r="F36" s="87"/>
      <c r="G36" s="129"/>
    </row>
    <row r="37" spans="1:7">
      <c r="A37" s="122" t="s">
        <v>65</v>
      </c>
      <c r="B37" s="222" t="s">
        <v>135</v>
      </c>
      <c r="C37" s="222"/>
      <c r="D37" s="222"/>
      <c r="E37" s="222"/>
      <c r="F37" s="222"/>
      <c r="G37" s="223"/>
    </row>
    <row r="38" spans="1:7" ht="69">
      <c r="A38" s="122" t="s">
        <v>165</v>
      </c>
      <c r="B38" s="199" t="s">
        <v>128</v>
      </c>
      <c r="C38" s="74" t="s">
        <v>109</v>
      </c>
      <c r="D38" s="75">
        <f>(2.67*(1.58+1.58+2.5+2.5))-(0.78*2.1)</f>
        <v>20.149199999999997</v>
      </c>
      <c r="E38" s="76"/>
      <c r="F38" s="76">
        <f>D38*E38</f>
        <v>0</v>
      </c>
      <c r="G38" s="113"/>
    </row>
    <row r="39" spans="1:7" ht="27.6">
      <c r="A39" s="122" t="s">
        <v>137</v>
      </c>
      <c r="B39" s="199" t="s">
        <v>132</v>
      </c>
      <c r="C39" s="209" t="s">
        <v>109</v>
      </c>
      <c r="D39" s="75">
        <f>(2.67*(1.58+1.58+2.5+2.5))-(0.78*2.1+0.8*2.1+0.8*2.1)</f>
        <v>16.789199999999997</v>
      </c>
      <c r="E39" s="211"/>
      <c r="F39" s="211">
        <f>D39*E39</f>
        <v>0</v>
      </c>
      <c r="G39" s="212"/>
    </row>
    <row r="40" spans="1:7" ht="55.2">
      <c r="A40" s="122" t="s">
        <v>138</v>
      </c>
      <c r="B40" s="123" t="s">
        <v>60</v>
      </c>
      <c r="C40" s="74" t="s">
        <v>109</v>
      </c>
      <c r="D40" s="75">
        <f>(2.1*(0.8+0.8))</f>
        <v>3.3600000000000003</v>
      </c>
      <c r="E40" s="76"/>
      <c r="F40" s="76">
        <f t="shared" ref="F40:F41" si="0">D40*E40</f>
        <v>0</v>
      </c>
      <c r="G40" s="113"/>
    </row>
    <row r="41" spans="1:7" ht="55.2">
      <c r="A41" s="122" t="s">
        <v>139</v>
      </c>
      <c r="B41" s="123" t="s">
        <v>63</v>
      </c>
      <c r="C41" s="74" t="s">
        <v>109</v>
      </c>
      <c r="D41" s="210">
        <f>3.96</f>
        <v>3.96</v>
      </c>
      <c r="E41" s="76"/>
      <c r="F41" s="76">
        <f t="shared" si="0"/>
        <v>0</v>
      </c>
      <c r="G41" s="113"/>
    </row>
    <row r="42" spans="1:7">
      <c r="A42" s="122" t="s">
        <v>117</v>
      </c>
      <c r="B42" s="222" t="s">
        <v>53</v>
      </c>
      <c r="C42" s="222"/>
      <c r="D42" s="222"/>
      <c r="E42" s="222"/>
      <c r="F42" s="222"/>
      <c r="G42" s="223"/>
    </row>
    <row r="43" spans="1:7" ht="69">
      <c r="A43" s="122" t="s">
        <v>166</v>
      </c>
      <c r="B43" s="123" t="s">
        <v>55</v>
      </c>
      <c r="C43" s="74" t="s">
        <v>141</v>
      </c>
      <c r="D43" s="75">
        <v>1</v>
      </c>
      <c r="E43" s="76"/>
      <c r="F43" s="76">
        <f>D43*E43</f>
        <v>0</v>
      </c>
      <c r="G43" s="113"/>
    </row>
    <row r="44" spans="1:7" ht="69">
      <c r="A44" s="122" t="s">
        <v>167</v>
      </c>
      <c r="B44" s="123" t="s">
        <v>58</v>
      </c>
      <c r="C44" s="74" t="s">
        <v>141</v>
      </c>
      <c r="D44" s="75">
        <v>1</v>
      </c>
      <c r="E44" s="76"/>
      <c r="F44" s="76">
        <f>D44*E44</f>
        <v>0</v>
      </c>
      <c r="G44" s="113"/>
    </row>
    <row r="45" spans="1:7" ht="69">
      <c r="A45" s="122" t="s">
        <v>168</v>
      </c>
      <c r="B45" s="123" t="s">
        <v>143</v>
      </c>
      <c r="C45" s="74" t="s">
        <v>141</v>
      </c>
      <c r="D45" s="75">
        <v>1</v>
      </c>
      <c r="E45" s="76"/>
      <c r="F45" s="76">
        <f>D45*E45</f>
        <v>0</v>
      </c>
      <c r="G45" s="113"/>
    </row>
    <row r="46" spans="1:7" ht="15" thickBot="1">
      <c r="A46" s="124"/>
      <c r="B46" s="125"/>
      <c r="C46" s="131"/>
      <c r="D46" s="98"/>
      <c r="E46" s="99"/>
      <c r="F46" s="99"/>
      <c r="G46" s="126"/>
    </row>
    <row r="47" spans="1:7" ht="15" thickBot="1">
      <c r="A47" s="67">
        <v>7</v>
      </c>
      <c r="B47" s="269" t="s">
        <v>169</v>
      </c>
      <c r="C47" s="269"/>
      <c r="D47" s="269"/>
      <c r="E47" s="269"/>
      <c r="F47" s="269"/>
      <c r="G47" s="68">
        <f>F49</f>
        <v>0</v>
      </c>
    </row>
    <row r="48" spans="1:7">
      <c r="A48" s="127"/>
      <c r="B48" s="128"/>
      <c r="C48" s="130"/>
      <c r="D48" s="86"/>
      <c r="E48" s="87"/>
      <c r="F48" s="87"/>
      <c r="G48" s="129"/>
    </row>
    <row r="49" spans="1:7" ht="55.2">
      <c r="A49" s="132" t="s">
        <v>69</v>
      </c>
      <c r="B49" s="133" t="s">
        <v>114</v>
      </c>
      <c r="C49" s="134" t="s">
        <v>67</v>
      </c>
      <c r="D49" s="135">
        <v>1</v>
      </c>
      <c r="E49" s="136"/>
      <c r="F49" s="136">
        <f>D49*E49</f>
        <v>0</v>
      </c>
      <c r="G49" s="137"/>
    </row>
    <row r="50" spans="1:7" ht="15" thickBot="1">
      <c r="A50" s="124"/>
      <c r="B50" s="125"/>
      <c r="C50" s="131"/>
      <c r="D50" s="98"/>
      <c r="E50" s="99"/>
      <c r="F50" s="99"/>
      <c r="G50" s="126"/>
    </row>
    <row r="51" spans="1:7" ht="15" thickBot="1">
      <c r="A51" s="67">
        <v>8</v>
      </c>
      <c r="B51" s="269" t="s">
        <v>170</v>
      </c>
      <c r="C51" s="269"/>
      <c r="D51" s="269"/>
      <c r="E51" s="269"/>
      <c r="F51" s="269"/>
      <c r="G51" s="68">
        <f>F54</f>
        <v>0</v>
      </c>
    </row>
    <row r="52" spans="1:7">
      <c r="A52" s="127"/>
      <c r="B52" s="128"/>
      <c r="C52" s="85"/>
      <c r="D52" s="86"/>
      <c r="E52" s="87"/>
      <c r="F52" s="87"/>
      <c r="G52" s="129"/>
    </row>
    <row r="53" spans="1:7" ht="69">
      <c r="A53" s="122" t="s">
        <v>76</v>
      </c>
      <c r="B53" s="123" t="s">
        <v>171</v>
      </c>
      <c r="C53" s="134" t="s">
        <v>67</v>
      </c>
      <c r="D53" s="75">
        <v>1</v>
      </c>
      <c r="E53" s="76"/>
      <c r="F53" s="76">
        <f>D53*E53</f>
        <v>0</v>
      </c>
      <c r="G53" s="113"/>
    </row>
    <row r="54" spans="1:7" ht="55.2">
      <c r="A54" s="122" t="s">
        <v>78</v>
      </c>
      <c r="B54" s="123" t="s">
        <v>74</v>
      </c>
      <c r="C54" s="134" t="s">
        <v>67</v>
      </c>
      <c r="D54" s="75">
        <v>1</v>
      </c>
      <c r="E54" s="76"/>
      <c r="F54" s="76">
        <f>D54*E54</f>
        <v>0</v>
      </c>
      <c r="G54" s="113"/>
    </row>
    <row r="55" spans="1:7" ht="15" thickBot="1">
      <c r="A55" s="124"/>
      <c r="B55" s="138"/>
      <c r="C55" s="139"/>
      <c r="D55" s="140"/>
      <c r="E55" s="99"/>
      <c r="F55" s="99"/>
      <c r="G55" s="126"/>
    </row>
    <row r="56" spans="1:7" ht="15" thickBot="1">
      <c r="A56" s="67">
        <v>9</v>
      </c>
      <c r="B56" s="269" t="s">
        <v>172</v>
      </c>
      <c r="C56" s="269"/>
      <c r="D56" s="269"/>
      <c r="E56" s="269"/>
      <c r="F56" s="269"/>
      <c r="G56" s="68">
        <f>F60</f>
        <v>0</v>
      </c>
    </row>
    <row r="57" spans="1:7">
      <c r="A57" s="127"/>
      <c r="B57" s="128"/>
      <c r="C57" s="85"/>
      <c r="D57" s="86"/>
      <c r="E57" s="87"/>
      <c r="F57" s="87"/>
      <c r="G57" s="129"/>
    </row>
    <row r="58" spans="1:7" ht="82.8">
      <c r="A58" s="122" t="s">
        <v>80</v>
      </c>
      <c r="B58" s="123" t="s">
        <v>147</v>
      </c>
      <c r="C58" s="74" t="s">
        <v>67</v>
      </c>
      <c r="D58" s="75">
        <v>1</v>
      </c>
      <c r="E58" s="76"/>
      <c r="F58" s="76">
        <f>D58*E58</f>
        <v>0</v>
      </c>
      <c r="G58" s="113"/>
    </row>
    <row r="59" spans="1:7" ht="69">
      <c r="A59" s="122" t="s">
        <v>95</v>
      </c>
      <c r="B59" s="123" t="s">
        <v>173</v>
      </c>
      <c r="C59" s="74" t="s">
        <v>67</v>
      </c>
      <c r="D59" s="75">
        <v>1</v>
      </c>
      <c r="E59" s="76"/>
      <c r="F59" s="76">
        <f>D59*E59</f>
        <v>0</v>
      </c>
      <c r="G59" s="113"/>
    </row>
    <row r="60" spans="1:7" ht="69">
      <c r="A60" s="122" t="s">
        <v>174</v>
      </c>
      <c r="B60" s="123" t="s">
        <v>148</v>
      </c>
      <c r="C60" s="74" t="s">
        <v>67</v>
      </c>
      <c r="D60" s="75">
        <v>1</v>
      </c>
      <c r="E60" s="76"/>
      <c r="F60" s="76">
        <f>D60*E60</f>
        <v>0</v>
      </c>
      <c r="G60" s="113"/>
    </row>
    <row r="61" spans="1:7" ht="55.2">
      <c r="A61" s="122" t="s">
        <v>175</v>
      </c>
      <c r="B61" s="123" t="s">
        <v>176</v>
      </c>
      <c r="C61" s="74" t="s">
        <v>67</v>
      </c>
      <c r="D61" s="75">
        <v>1</v>
      </c>
      <c r="E61" s="76"/>
      <c r="F61" s="76">
        <f>D61*E61</f>
        <v>0</v>
      </c>
      <c r="G61" s="113"/>
    </row>
    <row r="62" spans="1:7" ht="15" thickBot="1">
      <c r="A62" s="124"/>
      <c r="B62" s="138"/>
      <c r="C62" s="139"/>
      <c r="D62" s="140"/>
      <c r="E62" s="99"/>
      <c r="F62" s="99"/>
      <c r="G62" s="126"/>
    </row>
    <row r="63" spans="1:7" ht="15" thickBot="1">
      <c r="A63" s="67">
        <v>10</v>
      </c>
      <c r="B63" s="269" t="s">
        <v>177</v>
      </c>
      <c r="C63" s="269"/>
      <c r="D63" s="269"/>
      <c r="E63" s="269"/>
      <c r="F63" s="269"/>
      <c r="G63" s="68">
        <f>F65+F66</f>
        <v>0</v>
      </c>
    </row>
    <row r="64" spans="1:7">
      <c r="A64" s="127"/>
      <c r="B64" s="128"/>
      <c r="C64" s="85"/>
      <c r="D64" s="86"/>
      <c r="E64" s="87"/>
      <c r="F64" s="87"/>
      <c r="G64" s="129"/>
    </row>
    <row r="65" spans="1:7" ht="69">
      <c r="A65" s="132" t="s">
        <v>83</v>
      </c>
      <c r="B65" s="153" t="s">
        <v>149</v>
      </c>
      <c r="C65" s="134" t="s">
        <v>67</v>
      </c>
      <c r="D65" s="135">
        <v>1</v>
      </c>
      <c r="E65" s="136"/>
      <c r="F65" s="136">
        <f>D65*E65</f>
        <v>0</v>
      </c>
      <c r="G65" s="137"/>
    </row>
    <row r="66" spans="1:7" ht="55.2">
      <c r="A66" s="132" t="s">
        <v>178</v>
      </c>
      <c r="B66" s="123" t="s">
        <v>60</v>
      </c>
      <c r="C66" s="74" t="s">
        <v>109</v>
      </c>
      <c r="D66" s="75">
        <f>(0.6*1.8)</f>
        <v>1.08</v>
      </c>
      <c r="E66" s="76"/>
      <c r="F66" s="76">
        <f t="shared" ref="F66" si="1">D66*E66</f>
        <v>0</v>
      </c>
      <c r="G66" s="113"/>
    </row>
    <row r="67" spans="1:7" ht="15" thickBot="1">
      <c r="A67" s="124"/>
      <c r="B67" s="125"/>
      <c r="C67" s="97"/>
      <c r="D67" s="98"/>
      <c r="E67" s="99"/>
      <c r="F67" s="99"/>
      <c r="G67" s="126"/>
    </row>
    <row r="68" spans="1:7" ht="15" thickBot="1">
      <c r="A68" s="200">
        <v>11</v>
      </c>
      <c r="B68" s="268" t="s">
        <v>179</v>
      </c>
      <c r="C68" s="268"/>
      <c r="D68" s="268"/>
      <c r="E68" s="268"/>
      <c r="F68" s="268"/>
      <c r="G68" s="201">
        <f>SUM(F69:F75)</f>
        <v>0</v>
      </c>
    </row>
    <row r="69" spans="1:7">
      <c r="A69" s="202"/>
      <c r="B69" s="203"/>
      <c r="C69" s="204"/>
      <c r="D69" s="205"/>
      <c r="E69" s="206"/>
      <c r="F69" s="206"/>
      <c r="G69" s="207"/>
    </row>
    <row r="70" spans="1:7" ht="69">
      <c r="A70" s="208" t="s">
        <v>99</v>
      </c>
      <c r="B70" s="123" t="s">
        <v>180</v>
      </c>
      <c r="C70" s="209" t="s">
        <v>103</v>
      </c>
      <c r="D70" s="210">
        <v>1</v>
      </c>
      <c r="E70" s="211"/>
      <c r="F70" s="211">
        <f t="shared" ref="F70:F74" si="2">+D70*E70</f>
        <v>0</v>
      </c>
      <c r="G70" s="212"/>
    </row>
    <row r="71" spans="1:7" ht="69">
      <c r="A71" s="208" t="s">
        <v>101</v>
      </c>
      <c r="B71" s="123" t="s">
        <v>181</v>
      </c>
      <c r="C71" s="209" t="s">
        <v>103</v>
      </c>
      <c r="D71" s="210">
        <v>1</v>
      </c>
      <c r="E71" s="211"/>
      <c r="F71" s="211">
        <f t="shared" si="2"/>
        <v>0</v>
      </c>
      <c r="G71" s="212"/>
    </row>
    <row r="72" spans="1:7" ht="69">
      <c r="A72" s="208" t="s">
        <v>182</v>
      </c>
      <c r="B72" s="123" t="s">
        <v>183</v>
      </c>
      <c r="C72" s="209" t="s">
        <v>103</v>
      </c>
      <c r="D72" s="210">
        <v>1</v>
      </c>
      <c r="E72" s="211"/>
      <c r="F72" s="211">
        <f t="shared" si="2"/>
        <v>0</v>
      </c>
      <c r="G72" s="212"/>
    </row>
    <row r="73" spans="1:7" ht="15" customHeight="1">
      <c r="A73" s="208" t="s">
        <v>184</v>
      </c>
      <c r="B73" s="123" t="s">
        <v>185</v>
      </c>
      <c r="C73" s="209" t="s">
        <v>103</v>
      </c>
      <c r="D73" s="210">
        <v>1</v>
      </c>
      <c r="E73" s="211"/>
      <c r="F73" s="211">
        <f t="shared" si="2"/>
        <v>0</v>
      </c>
      <c r="G73" s="212"/>
    </row>
    <row r="74" spans="1:7" ht="69">
      <c r="A74" s="208" t="s">
        <v>186</v>
      </c>
      <c r="B74" s="123" t="s">
        <v>187</v>
      </c>
      <c r="C74" s="209" t="s">
        <v>103</v>
      </c>
      <c r="D74" s="210">
        <v>1</v>
      </c>
      <c r="E74" s="211"/>
      <c r="F74" s="211">
        <f t="shared" si="2"/>
        <v>0</v>
      </c>
      <c r="G74" s="212"/>
    </row>
    <row r="75" spans="1:7" ht="15" thickBot="1">
      <c r="A75" s="213"/>
      <c r="B75" s="214"/>
      <c r="C75" s="215"/>
      <c r="D75" s="216"/>
      <c r="E75" s="217"/>
      <c r="F75" s="217"/>
      <c r="G75" s="218"/>
    </row>
    <row r="76" spans="1:7" ht="15" thickBot="1">
      <c r="A76" s="200">
        <v>12</v>
      </c>
      <c r="B76" s="268" t="s">
        <v>188</v>
      </c>
      <c r="C76" s="268"/>
      <c r="D76" s="268"/>
      <c r="E76" s="268"/>
      <c r="F76" s="268"/>
      <c r="G76" s="201">
        <f>SUM(F77:F82)</f>
        <v>0</v>
      </c>
    </row>
    <row r="77" spans="1:7">
      <c r="A77" s="202"/>
      <c r="B77" s="203"/>
      <c r="C77" s="204"/>
      <c r="D77" s="205"/>
      <c r="E77" s="206"/>
      <c r="F77" s="206"/>
      <c r="G77" s="207"/>
    </row>
    <row r="78" spans="1:7" ht="41.4">
      <c r="A78" s="208" t="s">
        <v>189</v>
      </c>
      <c r="B78" s="199" t="s">
        <v>190</v>
      </c>
      <c r="C78" s="209" t="s">
        <v>103</v>
      </c>
      <c r="D78" s="210">
        <v>2</v>
      </c>
      <c r="E78" s="211"/>
      <c r="F78" s="211">
        <f>+D78*E78</f>
        <v>0</v>
      </c>
      <c r="G78" s="212"/>
    </row>
    <row r="79" spans="1:7" ht="41.4">
      <c r="A79" s="208" t="s">
        <v>191</v>
      </c>
      <c r="B79" s="199" t="s">
        <v>192</v>
      </c>
      <c r="C79" s="209" t="s">
        <v>103</v>
      </c>
      <c r="D79" s="210">
        <v>2</v>
      </c>
      <c r="E79" s="211"/>
      <c r="F79" s="211">
        <f>+D79*E79</f>
        <v>0</v>
      </c>
      <c r="G79" s="212"/>
    </row>
    <row r="80" spans="1:7" ht="41.4">
      <c r="A80" s="208" t="s">
        <v>193</v>
      </c>
      <c r="B80" s="199" t="s">
        <v>194</v>
      </c>
      <c r="C80" s="209" t="s">
        <v>103</v>
      </c>
      <c r="D80" s="210">
        <v>1</v>
      </c>
      <c r="E80" s="211"/>
      <c r="F80" s="211">
        <f t="shared" ref="F80:F81" si="3">+D80*E80</f>
        <v>0</v>
      </c>
      <c r="G80" s="212"/>
    </row>
    <row r="81" spans="1:7" ht="41.4">
      <c r="A81" s="208" t="s">
        <v>195</v>
      </c>
      <c r="B81" s="199" t="s">
        <v>196</v>
      </c>
      <c r="C81" s="209" t="s">
        <v>103</v>
      </c>
      <c r="D81" s="210">
        <v>1</v>
      </c>
      <c r="E81" s="211"/>
      <c r="F81" s="211">
        <f t="shared" si="3"/>
        <v>0</v>
      </c>
      <c r="G81" s="212"/>
    </row>
    <row r="82" spans="1:7" ht="15" thickBot="1">
      <c r="A82" s="213"/>
      <c r="B82" s="214"/>
      <c r="C82" s="215"/>
      <c r="D82" s="216"/>
      <c r="E82" s="217"/>
      <c r="F82" s="217"/>
      <c r="G82" s="218"/>
    </row>
    <row r="83" spans="1:7" ht="15" thickBot="1">
      <c r="A83" s="67">
        <v>13</v>
      </c>
      <c r="B83" s="269" t="s">
        <v>197</v>
      </c>
      <c r="C83" s="269"/>
      <c r="D83" s="269"/>
      <c r="E83" s="269"/>
      <c r="F83" s="269"/>
      <c r="G83" s="68">
        <f>F85+F86</f>
        <v>0</v>
      </c>
    </row>
    <row r="84" spans="1:7">
      <c r="A84" s="127"/>
      <c r="B84" s="128"/>
      <c r="C84" s="85"/>
      <c r="D84" s="86"/>
      <c r="E84" s="87"/>
      <c r="F84" s="87"/>
      <c r="G84" s="129"/>
    </row>
    <row r="85" spans="1:7" ht="55.2">
      <c r="A85" s="122" t="s">
        <v>198</v>
      </c>
      <c r="B85" s="123" t="s">
        <v>199</v>
      </c>
      <c r="C85" s="74" t="s">
        <v>109</v>
      </c>
      <c r="D85" s="75">
        <f>1*9.27</f>
        <v>9.27</v>
      </c>
      <c r="E85" s="76"/>
      <c r="F85" s="76">
        <f>D85*E85</f>
        <v>0</v>
      </c>
      <c r="G85" s="113"/>
    </row>
    <row r="86" spans="1:7" ht="55.2">
      <c r="A86" s="122" t="s">
        <v>200</v>
      </c>
      <c r="B86" s="123" t="s">
        <v>102</v>
      </c>
      <c r="C86" s="74" t="s">
        <v>103</v>
      </c>
      <c r="D86" s="75">
        <v>1</v>
      </c>
      <c r="E86" s="76"/>
      <c r="F86" s="76">
        <f>D86*E86</f>
        <v>0</v>
      </c>
      <c r="G86" s="113"/>
    </row>
    <row r="87" spans="1:7" ht="15" thickBot="1">
      <c r="A87" s="124"/>
      <c r="B87" s="125"/>
      <c r="C87" s="97"/>
      <c r="D87" s="98"/>
      <c r="E87" s="99"/>
      <c r="F87" s="99"/>
      <c r="G87" s="126"/>
    </row>
    <row r="88" spans="1:7" ht="15" thickBot="1">
      <c r="A88" s="141"/>
      <c r="B88" s="265"/>
      <c r="C88" s="265"/>
      <c r="D88" s="265"/>
      <c r="E88" s="265"/>
      <c r="F88" s="265"/>
      <c r="G88" s="299">
        <f>SUM(G8:G87)</f>
        <v>0</v>
      </c>
    </row>
    <row r="89" spans="1:7" ht="15" thickBot="1">
      <c r="A89" s="141"/>
      <c r="B89" s="267" t="s">
        <v>85</v>
      </c>
      <c r="C89" s="267"/>
      <c r="D89" s="267"/>
      <c r="E89" s="267"/>
      <c r="F89" s="267"/>
      <c r="G89" s="300"/>
    </row>
  </sheetData>
  <mergeCells count="27">
    <mergeCell ref="E5:E6"/>
    <mergeCell ref="B31:F31"/>
    <mergeCell ref="B35:F35"/>
    <mergeCell ref="B47:F47"/>
    <mergeCell ref="B51:F51"/>
    <mergeCell ref="B1:E1"/>
    <mergeCell ref="F2:G2"/>
    <mergeCell ref="B3:E3"/>
    <mergeCell ref="F3:G3"/>
    <mergeCell ref="F5:G5"/>
    <mergeCell ref="A7:G7"/>
    <mergeCell ref="B8:F8"/>
    <mergeCell ref="B13:F13"/>
    <mergeCell ref="B17:F17"/>
    <mergeCell ref="B26:F26"/>
    <mergeCell ref="A5:A6"/>
    <mergeCell ref="B5:B6"/>
    <mergeCell ref="C5:C6"/>
    <mergeCell ref="D5:D6"/>
    <mergeCell ref="B88:F88"/>
    <mergeCell ref="G88:G89"/>
    <mergeCell ref="B89:F89"/>
    <mergeCell ref="B56:F56"/>
    <mergeCell ref="B63:F63"/>
    <mergeCell ref="B68:F68"/>
    <mergeCell ref="B76:F76"/>
    <mergeCell ref="B83:F8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workbookViewId="0">
      <selection activeCell="E70" sqref="E70"/>
    </sheetView>
  </sheetViews>
  <sheetFormatPr defaultRowHeight="14.4"/>
  <cols>
    <col min="1" max="1" width="7.109375" bestFit="1" customWidth="1"/>
    <col min="2" max="2" width="37.6640625" bestFit="1" customWidth="1"/>
    <col min="3" max="3" width="3.6640625" bestFit="1" customWidth="1"/>
    <col min="4" max="4" width="7.88671875" bestFit="1" customWidth="1"/>
    <col min="5" max="5" width="12.6640625" bestFit="1" customWidth="1"/>
    <col min="6" max="6" width="11.44140625" bestFit="1" customWidth="1"/>
    <col min="7" max="7" width="12" customWidth="1"/>
  </cols>
  <sheetData>
    <row r="1" spans="1:7">
      <c r="A1" s="59" t="s">
        <v>10</v>
      </c>
      <c r="B1" s="270" t="s">
        <v>11</v>
      </c>
      <c r="C1" s="270"/>
      <c r="D1" s="270"/>
      <c r="E1" s="270"/>
      <c r="F1" s="60"/>
      <c r="G1" s="61"/>
    </row>
    <row r="2" spans="1:7">
      <c r="A2" s="59" t="s">
        <v>12</v>
      </c>
      <c r="B2" s="62"/>
      <c r="C2" s="61"/>
      <c r="D2" s="61"/>
      <c r="E2" s="63"/>
      <c r="F2" s="271"/>
      <c r="G2" s="271"/>
    </row>
    <row r="3" spans="1:7">
      <c r="A3" s="59" t="s">
        <v>13</v>
      </c>
      <c r="B3" s="270" t="s">
        <v>201</v>
      </c>
      <c r="C3" s="270"/>
      <c r="D3" s="270"/>
      <c r="E3" s="270"/>
      <c r="F3" s="271" t="s">
        <v>15</v>
      </c>
      <c r="G3" s="271"/>
    </row>
    <row r="4" spans="1:7" ht="15" thickBot="1">
      <c r="A4" s="61"/>
      <c r="B4" s="62"/>
      <c r="C4" s="61"/>
      <c r="D4" s="61"/>
      <c r="E4" s="64"/>
      <c r="F4" s="64"/>
      <c r="G4" s="61"/>
    </row>
    <row r="5" spans="1:7" ht="15" thickBot="1">
      <c r="A5" s="266" t="s">
        <v>16</v>
      </c>
      <c r="B5" s="266" t="s">
        <v>17</v>
      </c>
      <c r="C5" s="266" t="s">
        <v>18</v>
      </c>
      <c r="D5" s="265" t="s">
        <v>19</v>
      </c>
      <c r="E5" s="275" t="s">
        <v>20</v>
      </c>
      <c r="F5" s="266" t="s">
        <v>21</v>
      </c>
      <c r="G5" s="266"/>
    </row>
    <row r="6" spans="1:7" ht="15" thickBot="1">
      <c r="A6" s="266"/>
      <c r="B6" s="266" t="s">
        <v>22</v>
      </c>
      <c r="C6" s="266" t="s">
        <v>23</v>
      </c>
      <c r="D6" s="265" t="s">
        <v>24</v>
      </c>
      <c r="E6" s="275"/>
      <c r="F6" s="65" t="s">
        <v>25</v>
      </c>
      <c r="G6" s="66" t="s">
        <v>26</v>
      </c>
    </row>
    <row r="7" spans="1:7" ht="15" thickBot="1">
      <c r="A7" s="266"/>
      <c r="B7" s="266"/>
      <c r="C7" s="266"/>
      <c r="D7" s="266"/>
      <c r="E7" s="266"/>
      <c r="F7" s="266"/>
      <c r="G7" s="266"/>
    </row>
    <row r="8" spans="1:7" ht="15" thickBot="1">
      <c r="A8" s="67">
        <v>1</v>
      </c>
      <c r="B8" s="269" t="s">
        <v>27</v>
      </c>
      <c r="C8" s="269"/>
      <c r="D8" s="269"/>
      <c r="E8" s="269"/>
      <c r="F8" s="269"/>
      <c r="G8" s="68">
        <f>F10+F11+F12</f>
        <v>0</v>
      </c>
    </row>
    <row r="9" spans="1:7">
      <c r="A9" s="69"/>
      <c r="B9" s="62"/>
      <c r="C9" s="62"/>
      <c r="D9" s="62"/>
      <c r="E9" s="70"/>
      <c r="F9" s="70"/>
      <c r="G9" s="71"/>
    </row>
    <row r="10" spans="1:7" ht="55.2">
      <c r="A10" s="78" t="s">
        <v>28</v>
      </c>
      <c r="B10" s="148" t="s">
        <v>202</v>
      </c>
      <c r="C10" s="149" t="s">
        <v>109</v>
      </c>
      <c r="D10" s="150">
        <f>2.5</f>
        <v>2.5</v>
      </c>
      <c r="E10" s="151"/>
      <c r="F10" s="151">
        <f t="shared" ref="F10:F12" si="0">D10*E10</f>
        <v>0</v>
      </c>
      <c r="G10" s="152"/>
    </row>
    <row r="11" spans="1:7" ht="55.2">
      <c r="A11" s="78" t="s">
        <v>107</v>
      </c>
      <c r="B11" s="73" t="s">
        <v>108</v>
      </c>
      <c r="C11" s="74" t="s">
        <v>109</v>
      </c>
      <c r="D11" s="75">
        <f>(1*1)</f>
        <v>1</v>
      </c>
      <c r="E11" s="76"/>
      <c r="F11" s="76">
        <f t="shared" si="0"/>
        <v>0</v>
      </c>
      <c r="G11" s="77"/>
    </row>
    <row r="12" spans="1:7" ht="55.2">
      <c r="A12" s="78" t="s">
        <v>203</v>
      </c>
      <c r="B12" s="73" t="s">
        <v>204</v>
      </c>
      <c r="C12" s="74" t="s">
        <v>109</v>
      </c>
      <c r="D12" s="75">
        <f>12.16</f>
        <v>12.16</v>
      </c>
      <c r="E12" s="76"/>
      <c r="F12" s="76">
        <f t="shared" si="0"/>
        <v>0</v>
      </c>
      <c r="G12" s="77"/>
    </row>
    <row r="13" spans="1:7" ht="15" thickBot="1">
      <c r="A13" s="79"/>
      <c r="B13" s="80"/>
      <c r="C13" s="80"/>
      <c r="D13" s="80"/>
      <c r="E13" s="81"/>
      <c r="F13" s="81"/>
      <c r="G13" s="82"/>
    </row>
    <row r="14" spans="1:7" ht="15" thickBot="1">
      <c r="A14" s="67">
        <v>2</v>
      </c>
      <c r="B14" s="269" t="s">
        <v>152</v>
      </c>
      <c r="C14" s="269"/>
      <c r="D14" s="269"/>
      <c r="E14" s="269"/>
      <c r="F14" s="269"/>
      <c r="G14" s="68">
        <f>F16</f>
        <v>0</v>
      </c>
    </row>
    <row r="15" spans="1:7">
      <c r="A15" s="83"/>
      <c r="B15" s="84"/>
      <c r="C15" s="85"/>
      <c r="D15" s="86"/>
      <c r="E15" s="87"/>
      <c r="F15" s="87"/>
      <c r="G15" s="88"/>
    </row>
    <row r="16" spans="1:7" ht="55.2">
      <c r="A16" s="89" t="s">
        <v>32</v>
      </c>
      <c r="B16" s="90" t="s">
        <v>153</v>
      </c>
      <c r="C16" s="91" t="s">
        <v>106</v>
      </c>
      <c r="D16" s="92">
        <f>0.8*0.8*0.4*2</f>
        <v>0.51200000000000012</v>
      </c>
      <c r="E16" s="93"/>
      <c r="F16" s="93">
        <f>D16*E16</f>
        <v>0</v>
      </c>
      <c r="G16" s="94"/>
    </row>
    <row r="17" spans="1:7" ht="15" thickBot="1">
      <c r="A17" s="95"/>
      <c r="B17" s="96"/>
      <c r="C17" s="97"/>
      <c r="D17" s="98"/>
      <c r="E17" s="99"/>
      <c r="F17" s="99"/>
      <c r="G17" s="100"/>
    </row>
    <row r="18" spans="1:7" ht="15" thickBot="1">
      <c r="A18" s="67">
        <v>3</v>
      </c>
      <c r="B18" s="269" t="s">
        <v>154</v>
      </c>
      <c r="C18" s="269"/>
      <c r="D18" s="269"/>
      <c r="E18" s="269"/>
      <c r="F18" s="269"/>
      <c r="G18" s="68">
        <f>F20+F22+F23+F24+F25</f>
        <v>0</v>
      </c>
    </row>
    <row r="19" spans="1:7">
      <c r="A19" s="83"/>
      <c r="B19" s="84"/>
      <c r="C19" s="85"/>
      <c r="D19" s="86"/>
      <c r="E19" s="87"/>
      <c r="F19" s="87"/>
      <c r="G19" s="88"/>
    </row>
    <row r="20" spans="1:7" ht="41.4">
      <c r="A20" s="105" t="s">
        <v>40</v>
      </c>
      <c r="B20" s="106" t="s">
        <v>155</v>
      </c>
      <c r="C20" s="91" t="s">
        <v>109</v>
      </c>
      <c r="D20" s="91">
        <f>0.6*0.6*2</f>
        <v>0.72</v>
      </c>
      <c r="E20" s="107"/>
      <c r="F20" s="108">
        <f>D20*E20</f>
        <v>0</v>
      </c>
      <c r="G20" s="109"/>
    </row>
    <row r="21" spans="1:7" ht="96.6">
      <c r="A21" s="110" t="s">
        <v>129</v>
      </c>
      <c r="B21" s="111" t="s">
        <v>33</v>
      </c>
      <c r="C21" s="112"/>
      <c r="D21" s="75"/>
      <c r="E21" s="76"/>
      <c r="F21" s="76"/>
      <c r="G21" s="113"/>
    </row>
    <row r="22" spans="1:7" ht="15">
      <c r="A22" s="72" t="s">
        <v>156</v>
      </c>
      <c r="B22" s="111" t="s">
        <v>157</v>
      </c>
      <c r="C22" s="74" t="s">
        <v>106</v>
      </c>
      <c r="D22" s="75">
        <f>0.5*0.5*0.4*2</f>
        <v>0.2</v>
      </c>
      <c r="E22" s="76"/>
      <c r="F22" s="76">
        <f>D22*E22</f>
        <v>0</v>
      </c>
      <c r="G22" s="113"/>
    </row>
    <row r="23" spans="1:7" ht="15">
      <c r="A23" s="72" t="s">
        <v>158</v>
      </c>
      <c r="B23" s="111" t="s">
        <v>159</v>
      </c>
      <c r="C23" s="74" t="s">
        <v>106</v>
      </c>
      <c r="D23" s="75">
        <f>0.2*0.2*3*2</f>
        <v>0.24000000000000005</v>
      </c>
      <c r="E23" s="76"/>
      <c r="F23" s="76">
        <f>D23*E23</f>
        <v>0</v>
      </c>
      <c r="G23" s="113"/>
    </row>
    <row r="24" spans="1:7" ht="15">
      <c r="A24" s="72" t="s">
        <v>160</v>
      </c>
      <c r="B24" s="111" t="s">
        <v>35</v>
      </c>
      <c r="C24" s="74" t="s">
        <v>106</v>
      </c>
      <c r="D24" s="75">
        <f>0.2*0.4*(1.46+1.46+3+3+1.7+3.4)</f>
        <v>1.1216000000000002</v>
      </c>
      <c r="E24" s="76"/>
      <c r="F24" s="76">
        <f>D24*E24</f>
        <v>0</v>
      </c>
      <c r="G24" s="113"/>
    </row>
    <row r="25" spans="1:7" ht="15">
      <c r="A25" s="72" t="s">
        <v>161</v>
      </c>
      <c r="B25" s="111" t="s">
        <v>38</v>
      </c>
      <c r="C25" s="74" t="s">
        <v>106</v>
      </c>
      <c r="D25" s="75">
        <f>0.15*(2.5+10.2+6.31)</f>
        <v>2.8514999999999997</v>
      </c>
      <c r="E25" s="76"/>
      <c r="F25" s="76">
        <f>D25*E25</f>
        <v>0</v>
      </c>
      <c r="G25" s="113"/>
    </row>
    <row r="26" spans="1:7" ht="15" thickBot="1">
      <c r="A26" s="114"/>
      <c r="B26" s="115"/>
      <c r="C26" s="115"/>
      <c r="D26" s="115"/>
      <c r="E26" s="116"/>
      <c r="F26" s="116"/>
      <c r="G26" s="117"/>
    </row>
    <row r="27" spans="1:7" ht="15" thickBot="1">
      <c r="A27" s="67">
        <v>4</v>
      </c>
      <c r="B27" s="269" t="s">
        <v>162</v>
      </c>
      <c r="C27" s="269"/>
      <c r="D27" s="269"/>
      <c r="E27" s="269"/>
      <c r="F27" s="269"/>
      <c r="G27" s="68">
        <f>F29</f>
        <v>0</v>
      </c>
    </row>
    <row r="28" spans="1:7">
      <c r="A28" s="118"/>
      <c r="B28" s="119"/>
      <c r="C28" s="119"/>
      <c r="D28" s="119"/>
      <c r="E28" s="120"/>
      <c r="F28" s="120"/>
      <c r="G28" s="121"/>
    </row>
    <row r="29" spans="1:7" ht="69">
      <c r="A29" s="122" t="s">
        <v>43</v>
      </c>
      <c r="B29" s="123" t="s">
        <v>41</v>
      </c>
      <c r="C29" s="74" t="s">
        <v>109</v>
      </c>
      <c r="D29" s="75">
        <f>(2.48*3.8)-(0.77*2.1)+(2.48*(1.7+1.46+1.46))-(0.8*2.1+0.6*0.6)</f>
        <v>17.224599999999999</v>
      </c>
      <c r="E29" s="76"/>
      <c r="F29" s="76">
        <f>D29*E29</f>
        <v>0</v>
      </c>
      <c r="G29" s="113"/>
    </row>
    <row r="30" spans="1:7" ht="15" thickBot="1">
      <c r="A30" s="124"/>
      <c r="B30" s="125"/>
      <c r="C30" s="97"/>
      <c r="D30" s="98"/>
      <c r="E30" s="99"/>
      <c r="F30" s="99"/>
      <c r="G30" s="126"/>
    </row>
    <row r="31" spans="1:7" ht="15" thickBot="1">
      <c r="A31" s="67">
        <v>5</v>
      </c>
      <c r="B31" s="269" t="s">
        <v>163</v>
      </c>
      <c r="C31" s="269"/>
      <c r="D31" s="269"/>
      <c r="E31" s="269"/>
      <c r="F31" s="269"/>
      <c r="G31" s="68">
        <f>SUM(F32:F39)</f>
        <v>0</v>
      </c>
    </row>
    <row r="32" spans="1:7">
      <c r="A32" s="127"/>
      <c r="B32" s="128"/>
      <c r="C32" s="85"/>
      <c r="D32" s="86"/>
      <c r="E32" s="87"/>
      <c r="F32" s="87"/>
      <c r="G32" s="129"/>
    </row>
    <row r="33" spans="1:7" ht="69">
      <c r="A33" s="72" t="s">
        <v>52</v>
      </c>
      <c r="B33" s="199" t="s">
        <v>128</v>
      </c>
      <c r="C33" s="74" t="s">
        <v>109</v>
      </c>
      <c r="D33" s="75">
        <f>(2.73*(5.7+1.54+3.8+3.2))-(0.77*2.1+0.6*0.6)</f>
        <v>36.898199999999989</v>
      </c>
      <c r="E33" s="76"/>
      <c r="F33" s="76">
        <f>D33*E33</f>
        <v>0</v>
      </c>
      <c r="G33" s="113"/>
    </row>
    <row r="34" spans="1:7" ht="69">
      <c r="A34" s="72" t="s">
        <v>205</v>
      </c>
      <c r="B34" s="199" t="s">
        <v>111</v>
      </c>
      <c r="C34" s="74" t="s">
        <v>109</v>
      </c>
      <c r="D34" s="75">
        <f>(2.73*(1.46+3.8+1.46+3.8))-(0.8*2.1+0.82*2.1+0.87*2.1+0.77*2.1)+(2.73*(3+3+3.4+3.4))-(0.87*2.1+1*1)</f>
        <v>53.990600000000001</v>
      </c>
      <c r="E34" s="76"/>
      <c r="F34" s="76">
        <f>D34*E34</f>
        <v>0</v>
      </c>
      <c r="G34" s="113"/>
    </row>
    <row r="35" spans="1:7" ht="27.6">
      <c r="A35" s="72" t="s">
        <v>206</v>
      </c>
      <c r="B35" s="199" t="s">
        <v>112</v>
      </c>
      <c r="C35" s="74" t="s">
        <v>109</v>
      </c>
      <c r="D35" s="75">
        <f>(2.73*(9.7))-(1.21*1+1*2.1+1.21*1)+(2.73*(5.7+1.54+3.8+3.2))-(0.77*2.1+0.6*0.6)</f>
        <v>58.859199999999987</v>
      </c>
      <c r="E35" s="76"/>
      <c r="F35" s="76">
        <f>D35*E35</f>
        <v>0</v>
      </c>
      <c r="G35" s="113"/>
    </row>
    <row r="36" spans="1:7" ht="27.6">
      <c r="A36" s="72" t="s">
        <v>207</v>
      </c>
      <c r="B36" s="199" t="s">
        <v>132</v>
      </c>
      <c r="C36" s="74" t="s">
        <v>109</v>
      </c>
      <c r="D36" s="75">
        <f>(2.73*(1.46+3.8+1.46+3.8))-(0.8*2.1+0.82*2.1+0.87*2.1+0.77*2.1)+(2.73*(3+3+3.4+3.4))-(0.87*2.1+1*1)</f>
        <v>53.990600000000001</v>
      </c>
      <c r="E36" s="76"/>
      <c r="F36" s="76">
        <f>D36*E38</f>
        <v>0</v>
      </c>
      <c r="G36" s="113"/>
    </row>
    <row r="37" spans="1:7" ht="27.6">
      <c r="A37" s="72" t="s">
        <v>208</v>
      </c>
      <c r="B37" s="123" t="s">
        <v>48</v>
      </c>
      <c r="C37" s="74" t="s">
        <v>109</v>
      </c>
      <c r="D37" s="75">
        <f>(10.2+2.5+6.31)</f>
        <v>19.009999999999998</v>
      </c>
      <c r="E37" s="76"/>
      <c r="F37" s="76">
        <f>D37*E37</f>
        <v>0</v>
      </c>
      <c r="G37" s="113"/>
    </row>
    <row r="38" spans="1:7" ht="55.2">
      <c r="A38" s="72" t="s">
        <v>209</v>
      </c>
      <c r="B38" s="123" t="s">
        <v>210</v>
      </c>
      <c r="C38" s="74" t="s">
        <v>109</v>
      </c>
      <c r="D38" s="75">
        <f>(2.65+5.7)</f>
        <v>8.35</v>
      </c>
      <c r="E38" s="76"/>
      <c r="F38" s="76">
        <f>D38*E38</f>
        <v>0</v>
      </c>
      <c r="G38" s="113"/>
    </row>
    <row r="39" spans="1:7" ht="15" thickBot="1">
      <c r="A39" s="124"/>
      <c r="B39" s="125"/>
      <c r="C39" s="97"/>
      <c r="D39" s="98"/>
      <c r="E39" s="99"/>
      <c r="F39" s="99"/>
      <c r="G39" s="126"/>
    </row>
    <row r="40" spans="1:7" ht="15" thickBot="1">
      <c r="A40" s="67">
        <v>6</v>
      </c>
      <c r="B40" s="269" t="s">
        <v>211</v>
      </c>
      <c r="C40" s="269"/>
      <c r="D40" s="269"/>
      <c r="E40" s="269"/>
      <c r="F40" s="269"/>
      <c r="G40" s="68">
        <f>SUM(F41:F51)</f>
        <v>0</v>
      </c>
    </row>
    <row r="41" spans="1:7">
      <c r="A41" s="127"/>
      <c r="B41" s="128"/>
      <c r="C41" s="130"/>
      <c r="D41" s="86"/>
      <c r="E41" s="87"/>
      <c r="F41" s="87"/>
      <c r="G41" s="129"/>
    </row>
    <row r="42" spans="1:7">
      <c r="A42" s="122" t="s">
        <v>65</v>
      </c>
      <c r="B42" s="222" t="s">
        <v>135</v>
      </c>
      <c r="C42" s="222"/>
      <c r="D42" s="222"/>
      <c r="E42" s="222"/>
      <c r="F42" s="222"/>
      <c r="G42" s="223"/>
    </row>
    <row r="43" spans="1:7" ht="69">
      <c r="A43" s="122" t="s">
        <v>165</v>
      </c>
      <c r="B43" s="199" t="s">
        <v>111</v>
      </c>
      <c r="C43" s="74" t="s">
        <v>109</v>
      </c>
      <c r="D43" s="75">
        <f>(2.73*(1.46+1.46+1.7+1.7))-(0.8*2.1+0.6*0.6)</f>
        <v>15.213600000000003</v>
      </c>
      <c r="E43" s="76"/>
      <c r="F43" s="76">
        <f>D43*E43</f>
        <v>0</v>
      </c>
      <c r="G43" s="113"/>
    </row>
    <row r="44" spans="1:7" ht="27.6">
      <c r="A44" s="122" t="s">
        <v>137</v>
      </c>
      <c r="B44" s="199" t="s">
        <v>132</v>
      </c>
      <c r="C44" s="209" t="s">
        <v>109</v>
      </c>
      <c r="D44" s="75">
        <f>(2.73*(1.46+1.46+1.7+1.7))-(0.8*2.1+0.6*0.6+0.8*2.1+0.8*2.1)</f>
        <v>11.853600000000002</v>
      </c>
      <c r="E44" s="211"/>
      <c r="F44" s="211">
        <f>D44*E44</f>
        <v>0</v>
      </c>
      <c r="G44" s="212"/>
    </row>
    <row r="45" spans="1:7" ht="55.2">
      <c r="A45" s="122" t="s">
        <v>138</v>
      </c>
      <c r="B45" s="123" t="s">
        <v>60</v>
      </c>
      <c r="C45" s="74" t="s">
        <v>109</v>
      </c>
      <c r="D45" s="75">
        <f>(2.1*(0.8+0.8))</f>
        <v>3.3600000000000003</v>
      </c>
      <c r="E45" s="76"/>
      <c r="F45" s="76">
        <f t="shared" ref="F45:F46" si="1">D45*E45</f>
        <v>0</v>
      </c>
      <c r="G45" s="113"/>
    </row>
    <row r="46" spans="1:7" ht="55.2">
      <c r="A46" s="122" t="s">
        <v>139</v>
      </c>
      <c r="B46" s="123" t="s">
        <v>63</v>
      </c>
      <c r="C46" s="74" t="s">
        <v>109</v>
      </c>
      <c r="D46" s="210">
        <f>2.5</f>
        <v>2.5</v>
      </c>
      <c r="E46" s="76"/>
      <c r="F46" s="76">
        <f t="shared" si="1"/>
        <v>0</v>
      </c>
      <c r="G46" s="113"/>
    </row>
    <row r="47" spans="1:7">
      <c r="A47" s="122" t="s">
        <v>117</v>
      </c>
      <c r="B47" s="222" t="s">
        <v>53</v>
      </c>
      <c r="C47" s="222"/>
      <c r="D47" s="222"/>
      <c r="E47" s="222"/>
      <c r="F47" s="222"/>
      <c r="G47" s="223"/>
    </row>
    <row r="48" spans="1:7" ht="69">
      <c r="A48" s="122" t="s">
        <v>166</v>
      </c>
      <c r="B48" s="123" t="s">
        <v>55</v>
      </c>
      <c r="C48" s="74" t="s">
        <v>141</v>
      </c>
      <c r="D48" s="75">
        <v>1</v>
      </c>
      <c r="E48" s="76"/>
      <c r="F48" s="76">
        <f>D48*E48</f>
        <v>0</v>
      </c>
      <c r="G48" s="113"/>
    </row>
    <row r="49" spans="1:7" ht="69">
      <c r="A49" s="122" t="s">
        <v>167</v>
      </c>
      <c r="B49" s="123" t="s">
        <v>58</v>
      </c>
      <c r="C49" s="74" t="s">
        <v>141</v>
      </c>
      <c r="D49" s="75">
        <v>1</v>
      </c>
      <c r="E49" s="76"/>
      <c r="F49" s="76">
        <f>D49*E49</f>
        <v>0</v>
      </c>
      <c r="G49" s="113"/>
    </row>
    <row r="50" spans="1:7" ht="69">
      <c r="A50" s="122" t="s">
        <v>168</v>
      </c>
      <c r="B50" s="123" t="s">
        <v>143</v>
      </c>
      <c r="C50" s="74" t="s">
        <v>141</v>
      </c>
      <c r="D50" s="75">
        <v>1</v>
      </c>
      <c r="E50" s="76"/>
      <c r="F50" s="76">
        <f>D50*E50</f>
        <v>0</v>
      </c>
      <c r="G50" s="113"/>
    </row>
    <row r="51" spans="1:7" ht="15" thickBot="1">
      <c r="A51" s="124"/>
      <c r="B51" s="125"/>
      <c r="C51" s="131"/>
      <c r="D51" s="98"/>
      <c r="E51" s="99"/>
      <c r="F51" s="99"/>
      <c r="G51" s="126"/>
    </row>
    <row r="52" spans="1:7" ht="15" thickBot="1">
      <c r="A52" s="67">
        <v>7</v>
      </c>
      <c r="B52" s="269" t="s">
        <v>169</v>
      </c>
      <c r="C52" s="269"/>
      <c r="D52" s="269"/>
      <c r="E52" s="269"/>
      <c r="F52" s="269"/>
      <c r="G52" s="68">
        <f>F54</f>
        <v>0</v>
      </c>
    </row>
    <row r="53" spans="1:7">
      <c r="A53" s="127"/>
      <c r="B53" s="128"/>
      <c r="C53" s="130"/>
      <c r="D53" s="86"/>
      <c r="E53" s="87"/>
      <c r="F53" s="87"/>
      <c r="G53" s="129"/>
    </row>
    <row r="54" spans="1:7" ht="55.2">
      <c r="A54" s="132" t="s">
        <v>69</v>
      </c>
      <c r="B54" s="133" t="s">
        <v>114</v>
      </c>
      <c r="C54" s="134" t="s">
        <v>67</v>
      </c>
      <c r="D54" s="135">
        <v>1</v>
      </c>
      <c r="E54" s="136"/>
      <c r="F54" s="136">
        <f>D54*E54</f>
        <v>0</v>
      </c>
      <c r="G54" s="137"/>
    </row>
    <row r="55" spans="1:7" ht="15" thickBot="1">
      <c r="A55" s="124"/>
      <c r="B55" s="125"/>
      <c r="C55" s="131"/>
      <c r="D55" s="98"/>
      <c r="E55" s="99"/>
      <c r="F55" s="99"/>
      <c r="G55" s="126"/>
    </row>
    <row r="56" spans="1:7" ht="15" thickBot="1">
      <c r="A56" s="67">
        <v>8</v>
      </c>
      <c r="B56" s="269" t="s">
        <v>170</v>
      </c>
      <c r="C56" s="269"/>
      <c r="D56" s="269"/>
      <c r="E56" s="269"/>
      <c r="F56" s="269"/>
      <c r="G56" s="68">
        <f>F58+F59</f>
        <v>0</v>
      </c>
    </row>
    <row r="57" spans="1:7">
      <c r="A57" s="127"/>
      <c r="B57" s="128"/>
      <c r="C57" s="85"/>
      <c r="D57" s="86"/>
      <c r="E57" s="87"/>
      <c r="F57" s="87"/>
      <c r="G57" s="129"/>
    </row>
    <row r="58" spans="1:7" ht="69">
      <c r="A58" s="122" t="s">
        <v>76</v>
      </c>
      <c r="B58" s="123" t="s">
        <v>212</v>
      </c>
      <c r="C58" s="134" t="s">
        <v>67</v>
      </c>
      <c r="D58" s="75">
        <v>1</v>
      </c>
      <c r="E58" s="76"/>
      <c r="F58" s="76">
        <f>D58*E58</f>
        <v>0</v>
      </c>
      <c r="G58" s="113"/>
    </row>
    <row r="59" spans="1:7" ht="55.2">
      <c r="A59" s="122" t="s">
        <v>78</v>
      </c>
      <c r="B59" s="123" t="s">
        <v>74</v>
      </c>
      <c r="C59" s="134" t="s">
        <v>67</v>
      </c>
      <c r="D59" s="75">
        <v>1</v>
      </c>
      <c r="E59" s="76"/>
      <c r="F59" s="76">
        <f>D59*E59</f>
        <v>0</v>
      </c>
      <c r="G59" s="113"/>
    </row>
    <row r="60" spans="1:7" ht="15" thickBot="1">
      <c r="A60" s="124"/>
      <c r="B60" s="138"/>
      <c r="C60" s="139"/>
      <c r="D60" s="140"/>
      <c r="E60" s="99"/>
      <c r="F60" s="99"/>
      <c r="G60" s="126"/>
    </row>
    <row r="61" spans="1:7" ht="15" thickBot="1">
      <c r="A61" s="67">
        <v>9</v>
      </c>
      <c r="B61" s="269" t="s">
        <v>172</v>
      </c>
      <c r="C61" s="269"/>
      <c r="D61" s="269"/>
      <c r="E61" s="269"/>
      <c r="F61" s="269"/>
      <c r="G61" s="68">
        <f>F66</f>
        <v>0</v>
      </c>
    </row>
    <row r="62" spans="1:7">
      <c r="A62" s="127"/>
      <c r="B62" s="128"/>
      <c r="C62" s="85"/>
      <c r="D62" s="86"/>
      <c r="E62" s="87"/>
      <c r="F62" s="87"/>
      <c r="G62" s="129"/>
    </row>
    <row r="63" spans="1:7" ht="82.8">
      <c r="A63" s="122" t="s">
        <v>80</v>
      </c>
      <c r="B63" s="123" t="s">
        <v>147</v>
      </c>
      <c r="C63" s="74" t="s">
        <v>67</v>
      </c>
      <c r="D63" s="75">
        <v>1</v>
      </c>
      <c r="E63" s="76"/>
      <c r="F63" s="76">
        <f>D63*E63</f>
        <v>0</v>
      </c>
      <c r="G63" s="113"/>
    </row>
    <row r="64" spans="1:7" ht="69">
      <c r="A64" s="122" t="s">
        <v>95</v>
      </c>
      <c r="B64" s="123" t="s">
        <v>173</v>
      </c>
      <c r="C64" s="74" t="s">
        <v>67</v>
      </c>
      <c r="D64" s="75">
        <v>1</v>
      </c>
      <c r="E64" s="76"/>
      <c r="F64" s="76">
        <f>D64*E64</f>
        <v>0</v>
      </c>
      <c r="G64" s="113"/>
    </row>
    <row r="65" spans="1:7" ht="69">
      <c r="A65" s="122" t="s">
        <v>174</v>
      </c>
      <c r="B65" s="123" t="s">
        <v>148</v>
      </c>
      <c r="C65" s="74" t="s">
        <v>67</v>
      </c>
      <c r="D65" s="75">
        <v>1</v>
      </c>
      <c r="E65" s="76"/>
      <c r="F65" s="76">
        <f>D65*E65</f>
        <v>0</v>
      </c>
      <c r="G65" s="113"/>
    </row>
    <row r="66" spans="1:7" ht="55.2">
      <c r="A66" s="122" t="s">
        <v>175</v>
      </c>
      <c r="B66" s="123" t="s">
        <v>213</v>
      </c>
      <c r="C66" s="74" t="s">
        <v>67</v>
      </c>
      <c r="D66" s="75">
        <v>1</v>
      </c>
      <c r="E66" s="76"/>
      <c r="F66" s="76">
        <f>D66*E66</f>
        <v>0</v>
      </c>
      <c r="G66" s="113"/>
    </row>
    <row r="67" spans="1:7" ht="15" thickBot="1">
      <c r="A67" s="124"/>
      <c r="B67" s="138"/>
      <c r="C67" s="139"/>
      <c r="D67" s="140"/>
      <c r="E67" s="99"/>
      <c r="F67" s="99"/>
      <c r="G67" s="126"/>
    </row>
    <row r="68" spans="1:7" ht="15" thickBot="1">
      <c r="A68" s="67">
        <v>10</v>
      </c>
      <c r="B68" s="269" t="s">
        <v>177</v>
      </c>
      <c r="C68" s="269"/>
      <c r="D68" s="269"/>
      <c r="E68" s="269"/>
      <c r="F68" s="269"/>
      <c r="G68" s="68">
        <f>F70+F71</f>
        <v>0</v>
      </c>
    </row>
    <row r="69" spans="1:7">
      <c r="A69" s="127"/>
      <c r="B69" s="128"/>
      <c r="C69" s="85"/>
      <c r="D69" s="86"/>
      <c r="E69" s="87"/>
      <c r="F69" s="87"/>
      <c r="G69" s="129"/>
    </row>
    <row r="70" spans="1:7" ht="69">
      <c r="A70" s="132" t="s">
        <v>83</v>
      </c>
      <c r="B70" s="153" t="s">
        <v>149</v>
      </c>
      <c r="C70" s="134" t="s">
        <v>67</v>
      </c>
      <c r="D70" s="135">
        <v>1</v>
      </c>
      <c r="E70" s="136"/>
      <c r="F70" s="136">
        <f>D70*E70</f>
        <v>0</v>
      </c>
      <c r="G70" s="137"/>
    </row>
    <row r="71" spans="1:7" ht="55.2">
      <c r="A71" s="132" t="s">
        <v>178</v>
      </c>
      <c r="B71" s="123" t="s">
        <v>60</v>
      </c>
      <c r="C71" s="74" t="s">
        <v>109</v>
      </c>
      <c r="D71" s="75">
        <f>(0.6*1.8)</f>
        <v>1.08</v>
      </c>
      <c r="E71" s="76"/>
      <c r="F71" s="76">
        <f t="shared" ref="F71" si="2">D71*E71</f>
        <v>0</v>
      </c>
      <c r="G71" s="113"/>
    </row>
    <row r="72" spans="1:7" ht="15" thickBot="1">
      <c r="A72" s="124"/>
      <c r="B72" s="125"/>
      <c r="C72" s="97"/>
      <c r="D72" s="98"/>
      <c r="E72" s="99"/>
      <c r="F72" s="99"/>
      <c r="G72" s="126"/>
    </row>
    <row r="73" spans="1:7" ht="15" thickBot="1">
      <c r="A73" s="200">
        <v>11</v>
      </c>
      <c r="B73" s="268" t="s">
        <v>179</v>
      </c>
      <c r="C73" s="268"/>
      <c r="D73" s="268"/>
      <c r="E73" s="268"/>
      <c r="F73" s="268"/>
      <c r="G73" s="201">
        <f>SUM(F74:F78)</f>
        <v>0</v>
      </c>
    </row>
    <row r="74" spans="1:7">
      <c r="A74" s="202"/>
      <c r="B74" s="203"/>
      <c r="C74" s="204"/>
      <c r="D74" s="205"/>
      <c r="E74" s="206"/>
      <c r="F74" s="206"/>
      <c r="G74" s="207"/>
    </row>
    <row r="75" spans="1:7" ht="69">
      <c r="A75" s="208" t="s">
        <v>99</v>
      </c>
      <c r="B75" s="123" t="s">
        <v>214</v>
      </c>
      <c r="C75" s="209" t="s">
        <v>103</v>
      </c>
      <c r="D75" s="210">
        <v>1</v>
      </c>
      <c r="E75" s="211"/>
      <c r="F75" s="211">
        <f t="shared" ref="F75:F77" si="3">+D75*E75</f>
        <v>0</v>
      </c>
      <c r="G75" s="212"/>
    </row>
    <row r="76" spans="1:7" ht="69">
      <c r="A76" s="208" t="s">
        <v>101</v>
      </c>
      <c r="B76" s="123" t="s">
        <v>215</v>
      </c>
      <c r="C76" s="209" t="s">
        <v>103</v>
      </c>
      <c r="D76" s="210">
        <v>1</v>
      </c>
      <c r="E76" s="211"/>
      <c r="F76" s="211">
        <f t="shared" si="3"/>
        <v>0</v>
      </c>
      <c r="G76" s="212"/>
    </row>
    <row r="77" spans="1:7" ht="69">
      <c r="A77" s="208" t="s">
        <v>182</v>
      </c>
      <c r="B77" s="123" t="s">
        <v>216</v>
      </c>
      <c r="C77" s="209" t="s">
        <v>103</v>
      </c>
      <c r="D77" s="210">
        <v>2</v>
      </c>
      <c r="E77" s="211"/>
      <c r="F77" s="211">
        <f t="shared" si="3"/>
        <v>0</v>
      </c>
      <c r="G77" s="212"/>
    </row>
    <row r="78" spans="1:7" ht="15" thickBot="1">
      <c r="A78" s="213"/>
      <c r="B78" s="214"/>
      <c r="C78" s="215"/>
      <c r="D78" s="216"/>
      <c r="E78" s="217"/>
      <c r="F78" s="217"/>
      <c r="G78" s="218"/>
    </row>
    <row r="79" spans="1:7" ht="15" thickBot="1">
      <c r="A79" s="200">
        <v>12</v>
      </c>
      <c r="B79" s="268" t="s">
        <v>188</v>
      </c>
      <c r="C79" s="268"/>
      <c r="D79" s="268"/>
      <c r="E79" s="268"/>
      <c r="F79" s="268"/>
      <c r="G79" s="201">
        <f>SUM(F80:F85)</f>
        <v>0</v>
      </c>
    </row>
    <row r="80" spans="1:7">
      <c r="A80" s="202"/>
      <c r="B80" s="203"/>
      <c r="C80" s="204"/>
      <c r="D80" s="205"/>
      <c r="E80" s="206"/>
      <c r="F80" s="206"/>
      <c r="G80" s="207"/>
    </row>
    <row r="81" spans="1:7" ht="41.4">
      <c r="A81" s="208" t="s">
        <v>189</v>
      </c>
      <c r="B81" s="199" t="s">
        <v>217</v>
      </c>
      <c r="C81" s="209" t="s">
        <v>103</v>
      </c>
      <c r="D81" s="210">
        <v>2</v>
      </c>
      <c r="E81" s="211"/>
      <c r="F81" s="211">
        <f>+D81*E81</f>
        <v>0</v>
      </c>
      <c r="G81" s="212"/>
    </row>
    <row r="82" spans="1:7" ht="41.4">
      <c r="A82" s="208" t="s">
        <v>191</v>
      </c>
      <c r="B82" s="199" t="s">
        <v>218</v>
      </c>
      <c r="C82" s="209" t="s">
        <v>103</v>
      </c>
      <c r="D82" s="210">
        <v>2</v>
      </c>
      <c r="E82" s="211"/>
      <c r="F82" s="211">
        <f>+D82*E82</f>
        <v>0</v>
      </c>
      <c r="G82" s="212"/>
    </row>
    <row r="83" spans="1:7" ht="41.4">
      <c r="A83" s="208" t="s">
        <v>193</v>
      </c>
      <c r="B83" s="199" t="s">
        <v>219</v>
      </c>
      <c r="C83" s="209" t="s">
        <v>103</v>
      </c>
      <c r="D83" s="210">
        <v>1</v>
      </c>
      <c r="E83" s="211"/>
      <c r="F83" s="211">
        <f t="shared" ref="F83:F84" si="4">+D83*E83</f>
        <v>0</v>
      </c>
      <c r="G83" s="212"/>
    </row>
    <row r="84" spans="1:7" ht="41.4">
      <c r="A84" s="208" t="s">
        <v>195</v>
      </c>
      <c r="B84" s="199" t="s">
        <v>196</v>
      </c>
      <c r="C84" s="209" t="s">
        <v>103</v>
      </c>
      <c r="D84" s="210">
        <v>1</v>
      </c>
      <c r="E84" s="211"/>
      <c r="F84" s="211">
        <f t="shared" si="4"/>
        <v>0</v>
      </c>
      <c r="G84" s="212"/>
    </row>
    <row r="85" spans="1:7" ht="15" thickBot="1">
      <c r="A85" s="213"/>
      <c r="B85" s="214"/>
      <c r="C85" s="215"/>
      <c r="D85" s="216"/>
      <c r="E85" s="217"/>
      <c r="F85" s="217"/>
      <c r="G85" s="218"/>
    </row>
    <row r="86" spans="1:7" ht="15" thickBot="1">
      <c r="A86" s="67">
        <v>13</v>
      </c>
      <c r="B86" s="269" t="s">
        <v>197</v>
      </c>
      <c r="C86" s="269"/>
      <c r="D86" s="269"/>
      <c r="E86" s="269"/>
      <c r="F86" s="269"/>
      <c r="G86" s="68">
        <f>F88+F89</f>
        <v>0</v>
      </c>
    </row>
    <row r="87" spans="1:7">
      <c r="A87" s="127"/>
      <c r="B87" s="128"/>
      <c r="C87" s="85"/>
      <c r="D87" s="86"/>
      <c r="E87" s="87"/>
      <c r="F87" s="87"/>
      <c r="G87" s="129"/>
    </row>
    <row r="88" spans="1:7" ht="55.2">
      <c r="A88" s="122" t="s">
        <v>198</v>
      </c>
      <c r="B88" s="123" t="s">
        <v>199</v>
      </c>
      <c r="C88" s="74" t="s">
        <v>109</v>
      </c>
      <c r="D88" s="75">
        <f>1*9.7</f>
        <v>9.6999999999999993</v>
      </c>
      <c r="E88" s="76"/>
      <c r="F88" s="76">
        <f>D88*E88</f>
        <v>0</v>
      </c>
      <c r="G88" s="113"/>
    </row>
    <row r="89" spans="1:7" ht="55.2">
      <c r="A89" s="122" t="s">
        <v>200</v>
      </c>
      <c r="B89" s="123" t="s">
        <v>102</v>
      </c>
      <c r="C89" s="74" t="s">
        <v>103</v>
      </c>
      <c r="D89" s="75">
        <v>1</v>
      </c>
      <c r="E89" s="76"/>
      <c r="F89" s="76">
        <f>D89*E89</f>
        <v>0</v>
      </c>
      <c r="G89" s="113"/>
    </row>
    <row r="90" spans="1:7" ht="15" thickBot="1">
      <c r="A90" s="124"/>
      <c r="B90" s="125"/>
      <c r="C90" s="97"/>
      <c r="D90" s="98"/>
      <c r="E90" s="99"/>
      <c r="F90" s="99"/>
      <c r="G90" s="126"/>
    </row>
    <row r="91" spans="1:7" ht="15" thickBot="1">
      <c r="A91" s="141"/>
      <c r="B91" s="265"/>
      <c r="C91" s="265"/>
      <c r="D91" s="265"/>
      <c r="E91" s="265"/>
      <c r="F91" s="265"/>
      <c r="G91" s="265">
        <f>SUM(G8:G90)</f>
        <v>0</v>
      </c>
    </row>
    <row r="92" spans="1:7" ht="15" thickBot="1">
      <c r="A92" s="141"/>
      <c r="B92" s="267" t="s">
        <v>85</v>
      </c>
      <c r="C92" s="267"/>
      <c r="D92" s="267"/>
      <c r="E92" s="267"/>
      <c r="F92" s="267"/>
      <c r="G92" s="266"/>
    </row>
  </sheetData>
  <mergeCells count="27">
    <mergeCell ref="B1:E1"/>
    <mergeCell ref="F2:G2"/>
    <mergeCell ref="B3:E3"/>
    <mergeCell ref="F3:G3"/>
    <mergeCell ref="A5:A6"/>
    <mergeCell ref="B5:B6"/>
    <mergeCell ref="C5:C6"/>
    <mergeCell ref="D5:D6"/>
    <mergeCell ref="E5:E6"/>
    <mergeCell ref="F5:G5"/>
    <mergeCell ref="B56:F56"/>
    <mergeCell ref="A7:G7"/>
    <mergeCell ref="B8:F8"/>
    <mergeCell ref="B14:F14"/>
    <mergeCell ref="B18:F18"/>
    <mergeCell ref="B27:F27"/>
    <mergeCell ref="B31:F31"/>
    <mergeCell ref="B40:F40"/>
    <mergeCell ref="B52:F52"/>
    <mergeCell ref="B91:F91"/>
    <mergeCell ref="G91:G92"/>
    <mergeCell ref="B92:F92"/>
    <mergeCell ref="B61:F61"/>
    <mergeCell ref="B68:F68"/>
    <mergeCell ref="B73:F73"/>
    <mergeCell ref="B79:F79"/>
    <mergeCell ref="B86:F8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workbookViewId="0">
      <selection activeCell="K9" sqref="K9"/>
    </sheetView>
  </sheetViews>
  <sheetFormatPr defaultRowHeight="14.4"/>
  <cols>
    <col min="1" max="1" width="7.5546875" style="4" bestFit="1" customWidth="1"/>
    <col min="2" max="2" width="39.5546875" style="3" customWidth="1"/>
    <col min="3" max="3" width="4.5546875" style="3" customWidth="1"/>
    <col min="4" max="4" width="6.5546875" style="3" customWidth="1"/>
    <col min="5" max="5" width="11.44140625" style="5" customWidth="1"/>
    <col min="6" max="6" width="11.44140625" style="5" bestFit="1" customWidth="1"/>
    <col min="7" max="7" width="12.44140625" style="3" customWidth="1"/>
  </cols>
  <sheetData>
    <row r="1" spans="1:7" ht="8.1" customHeight="1"/>
    <row r="2" spans="1:7">
      <c r="A2" s="6" t="s">
        <v>9</v>
      </c>
      <c r="B2" s="6"/>
      <c r="C2" s="6"/>
      <c r="D2" s="6"/>
      <c r="E2" s="7"/>
      <c r="F2" s="8"/>
      <c r="G2" s="6"/>
    </row>
    <row r="3" spans="1:7">
      <c r="A3" s="9" t="s">
        <v>10</v>
      </c>
      <c r="B3" s="6" t="s">
        <v>11</v>
      </c>
      <c r="C3" s="9"/>
      <c r="E3" s="10"/>
      <c r="F3" s="10"/>
      <c r="G3" s="9"/>
    </row>
    <row r="4" spans="1:7">
      <c r="A4" s="9" t="s">
        <v>12</v>
      </c>
      <c r="B4" s="6"/>
      <c r="C4" s="9"/>
      <c r="D4" s="9"/>
      <c r="E4" s="7"/>
      <c r="F4" s="312"/>
      <c r="G4" s="312"/>
    </row>
    <row r="5" spans="1:7">
      <c r="A5" s="9" t="s">
        <v>13</v>
      </c>
      <c r="B5" s="6" t="s">
        <v>14</v>
      </c>
      <c r="C5" s="9"/>
      <c r="D5" s="9"/>
      <c r="E5" s="7"/>
      <c r="F5" s="312" t="s">
        <v>15</v>
      </c>
      <c r="G5" s="312"/>
    </row>
    <row r="6" spans="1:7" ht="15" thickBot="1">
      <c r="A6" s="9"/>
      <c r="B6" s="6"/>
      <c r="C6" s="9"/>
      <c r="D6" s="9"/>
      <c r="E6" s="11"/>
      <c r="F6" s="11"/>
      <c r="G6" s="9"/>
    </row>
    <row r="7" spans="1:7" ht="15" thickBot="1">
      <c r="A7" s="318" t="s">
        <v>16</v>
      </c>
      <c r="B7" s="318" t="s">
        <v>17</v>
      </c>
      <c r="C7" s="318" t="s">
        <v>18</v>
      </c>
      <c r="D7" s="320" t="s">
        <v>19</v>
      </c>
      <c r="E7" s="322" t="s">
        <v>20</v>
      </c>
      <c r="F7" s="313" t="s">
        <v>21</v>
      </c>
      <c r="G7" s="314"/>
    </row>
    <row r="8" spans="1:7" ht="15" thickBot="1">
      <c r="A8" s="319"/>
      <c r="B8" s="319" t="s">
        <v>22</v>
      </c>
      <c r="C8" s="319" t="s">
        <v>23</v>
      </c>
      <c r="D8" s="321" t="s">
        <v>24</v>
      </c>
      <c r="E8" s="323"/>
      <c r="F8" s="12" t="s">
        <v>25</v>
      </c>
      <c r="G8" s="13" t="s">
        <v>26</v>
      </c>
    </row>
    <row r="9" spans="1:7" ht="12" customHeight="1">
      <c r="A9" s="315"/>
      <c r="B9" s="316"/>
      <c r="C9" s="316"/>
      <c r="D9" s="316"/>
      <c r="E9" s="316"/>
      <c r="F9" s="316"/>
      <c r="G9" s="317"/>
    </row>
    <row r="10" spans="1:7">
      <c r="A10" s="14">
        <v>1</v>
      </c>
      <c r="B10" s="301" t="s">
        <v>27</v>
      </c>
      <c r="C10" s="302"/>
      <c r="D10" s="302"/>
      <c r="E10" s="302"/>
      <c r="F10" s="303"/>
      <c r="G10" s="15">
        <f>+SUM(F12:F12)</f>
        <v>0</v>
      </c>
    </row>
    <row r="11" spans="1:7" ht="6.9" customHeight="1">
      <c r="A11" s="16"/>
      <c r="B11" s="17"/>
      <c r="C11" s="17"/>
      <c r="D11" s="17"/>
      <c r="E11" s="18"/>
      <c r="F11" s="18"/>
      <c r="G11" s="19"/>
    </row>
    <row r="12" spans="1:7" ht="52.8">
      <c r="A12" s="20" t="s">
        <v>28</v>
      </c>
      <c r="B12" s="21" t="s">
        <v>29</v>
      </c>
      <c r="C12" s="22" t="s">
        <v>30</v>
      </c>
      <c r="D12" s="23">
        <f>15.56+20.6</f>
        <v>36.160000000000004</v>
      </c>
      <c r="E12" s="24"/>
      <c r="F12" s="24">
        <f>D12*E12</f>
        <v>0</v>
      </c>
      <c r="G12" s="25"/>
    </row>
    <row r="13" spans="1:7" ht="6.9" customHeight="1">
      <c r="A13" s="26"/>
      <c r="B13" s="27"/>
      <c r="C13" s="27"/>
      <c r="D13" s="27"/>
      <c r="E13" s="28"/>
      <c r="F13" s="24"/>
      <c r="G13" s="29"/>
    </row>
    <row r="14" spans="1:7">
      <c r="A14" s="14">
        <v>2</v>
      </c>
      <c r="B14" s="301" t="s">
        <v>31</v>
      </c>
      <c r="C14" s="302"/>
      <c r="D14" s="302"/>
      <c r="E14" s="302"/>
      <c r="F14" s="303"/>
      <c r="G14" s="15">
        <f>SUM(F17:F18)</f>
        <v>0</v>
      </c>
    </row>
    <row r="15" spans="1:7">
      <c r="A15" s="16"/>
      <c r="B15" s="17"/>
      <c r="C15" s="17"/>
      <c r="D15" s="17"/>
      <c r="E15" s="18"/>
      <c r="F15" s="18"/>
      <c r="G15" s="19"/>
    </row>
    <row r="16" spans="1:7" ht="92.4">
      <c r="A16" s="20" t="s">
        <v>32</v>
      </c>
      <c r="B16" s="30" t="s">
        <v>33</v>
      </c>
      <c r="C16" s="31"/>
      <c r="D16" s="23"/>
      <c r="E16" s="24"/>
      <c r="F16" s="24"/>
      <c r="G16" s="32"/>
    </row>
    <row r="17" spans="1:7" ht="15.6">
      <c r="A17" s="20" t="s">
        <v>34</v>
      </c>
      <c r="B17" s="30" t="s">
        <v>35</v>
      </c>
      <c r="C17" s="22" t="s">
        <v>36</v>
      </c>
      <c r="D17" s="23">
        <f>0.2*0.4*4*2+0.2*0.4*5.35*2+0.2*0.4*3.9*2+0.2*0.4*2.02</f>
        <v>2.2816000000000001</v>
      </c>
      <c r="E17" s="24"/>
      <c r="F17" s="24">
        <f t="shared" ref="F17:F18" si="0">D17*E17</f>
        <v>0</v>
      </c>
      <c r="G17" s="32"/>
    </row>
    <row r="18" spans="1:7" ht="15.6">
      <c r="A18" s="20" t="s">
        <v>37</v>
      </c>
      <c r="B18" s="30" t="s">
        <v>38</v>
      </c>
      <c r="C18" s="22" t="s">
        <v>36</v>
      </c>
      <c r="D18" s="23">
        <f>23.61*0.15</f>
        <v>3.5414999999999996</v>
      </c>
      <c r="E18" s="24"/>
      <c r="F18" s="24">
        <f t="shared" si="0"/>
        <v>0</v>
      </c>
      <c r="G18" s="32"/>
    </row>
    <row r="19" spans="1:7" ht="6.9" customHeight="1">
      <c r="A19" s="26"/>
      <c r="B19" s="33"/>
      <c r="C19" s="33"/>
      <c r="D19" s="33"/>
      <c r="E19" s="34"/>
      <c r="F19" s="34"/>
      <c r="G19" s="35"/>
    </row>
    <row r="20" spans="1:7">
      <c r="A20" s="14">
        <v>3</v>
      </c>
      <c r="B20" s="301" t="s">
        <v>39</v>
      </c>
      <c r="C20" s="302"/>
      <c r="D20" s="302"/>
      <c r="E20" s="302"/>
      <c r="F20" s="303"/>
      <c r="G20" s="15">
        <f>+SUM(F22:F22)</f>
        <v>0</v>
      </c>
    </row>
    <row r="21" spans="1:7" ht="6.9" customHeight="1">
      <c r="A21" s="16"/>
      <c r="B21" s="17"/>
      <c r="C21" s="17"/>
      <c r="D21" s="17"/>
      <c r="E21" s="18"/>
      <c r="F21" s="18"/>
      <c r="G21" s="19"/>
    </row>
    <row r="22" spans="1:7" ht="66">
      <c r="A22" s="36" t="s">
        <v>40</v>
      </c>
      <c r="B22" s="37" t="s">
        <v>41</v>
      </c>
      <c r="C22" s="22" t="s">
        <v>30</v>
      </c>
      <c r="D22" s="23">
        <v>3</v>
      </c>
      <c r="E22" s="24"/>
      <c r="F22" s="24">
        <f t="shared" ref="F22" si="1">D22*E22</f>
        <v>0</v>
      </c>
      <c r="G22" s="32"/>
    </row>
    <row r="23" spans="1:7" ht="6.9" customHeight="1">
      <c r="A23" s="38"/>
      <c r="B23" s="39"/>
      <c r="C23" s="40"/>
      <c r="D23" s="40"/>
      <c r="E23" s="41"/>
      <c r="F23" s="42"/>
      <c r="G23" s="43"/>
    </row>
    <row r="24" spans="1:7" ht="6.9" customHeight="1">
      <c r="A24" s="38"/>
      <c r="B24" s="39"/>
      <c r="C24" s="40"/>
      <c r="D24" s="40"/>
      <c r="E24" s="41"/>
      <c r="F24" s="42"/>
      <c r="G24" s="43"/>
    </row>
    <row r="25" spans="1:7">
      <c r="A25" s="14">
        <v>4</v>
      </c>
      <c r="B25" s="301" t="s">
        <v>42</v>
      </c>
      <c r="C25" s="302"/>
      <c r="D25" s="302"/>
      <c r="E25" s="302"/>
      <c r="F25" s="303"/>
      <c r="G25" s="15">
        <f>SUM(F27:F30)</f>
        <v>0</v>
      </c>
    </row>
    <row r="26" spans="1:7">
      <c r="A26" s="36"/>
      <c r="B26" s="37"/>
      <c r="C26" s="22"/>
      <c r="D26" s="23"/>
      <c r="E26" s="24"/>
      <c r="F26" s="24"/>
      <c r="G26" s="32"/>
    </row>
    <row r="27" spans="1:7" ht="66">
      <c r="A27" s="36" t="s">
        <v>43</v>
      </c>
      <c r="B27" s="37" t="s">
        <v>44</v>
      </c>
      <c r="C27" s="22" t="s">
        <v>30</v>
      </c>
      <c r="D27" s="23">
        <f>39.93*2.83-(0.8+1.07+0.8)+11*2.83</f>
        <v>141.46190000000001</v>
      </c>
      <c r="E27" s="24"/>
      <c r="F27" s="24">
        <f>+D27*E27</f>
        <v>0</v>
      </c>
      <c r="G27" s="32"/>
    </row>
    <row r="28" spans="1:7" ht="26.4">
      <c r="A28" s="36" t="s">
        <v>45</v>
      </c>
      <c r="B28" s="44" t="s">
        <v>46</v>
      </c>
      <c r="C28" s="22" t="s">
        <v>30</v>
      </c>
      <c r="D28" s="23">
        <f>+(2.05+2.85)*2.83+D27</f>
        <v>155.3289</v>
      </c>
      <c r="E28" s="24"/>
      <c r="F28" s="24">
        <f>+D28*E28</f>
        <v>0</v>
      </c>
      <c r="G28" s="32"/>
    </row>
    <row r="29" spans="1:7" ht="26.4">
      <c r="A29" s="36" t="s">
        <v>47</v>
      </c>
      <c r="B29" s="44" t="s">
        <v>48</v>
      </c>
      <c r="C29" s="22" t="s">
        <v>30</v>
      </c>
      <c r="D29" s="23">
        <f>23.61+7.56+8.11</f>
        <v>39.28</v>
      </c>
      <c r="E29" s="24"/>
      <c r="F29" s="24">
        <f>+D29*E29</f>
        <v>0</v>
      </c>
      <c r="G29" s="32"/>
    </row>
    <row r="30" spans="1:7" ht="52.8">
      <c r="A30" s="36" t="s">
        <v>49</v>
      </c>
      <c r="B30" s="37" t="s">
        <v>50</v>
      </c>
      <c r="C30" s="22" t="s">
        <v>30</v>
      </c>
      <c r="D30" s="23">
        <f>6.2+2.53</f>
        <v>8.73</v>
      </c>
      <c r="E30" s="24"/>
      <c r="F30" s="24">
        <f>+D30*E30</f>
        <v>0</v>
      </c>
      <c r="G30" s="32"/>
    </row>
    <row r="31" spans="1:7">
      <c r="A31" s="36"/>
      <c r="B31" s="37"/>
      <c r="C31" s="22"/>
      <c r="D31" s="23"/>
      <c r="E31" s="24"/>
      <c r="F31" s="24"/>
      <c r="G31" s="32"/>
    </row>
    <row r="32" spans="1:7">
      <c r="A32" s="14">
        <v>5</v>
      </c>
      <c r="B32" s="301" t="s">
        <v>51</v>
      </c>
      <c r="C32" s="302"/>
      <c r="D32" s="302"/>
      <c r="E32" s="302"/>
      <c r="F32" s="303"/>
      <c r="G32" s="15">
        <f>+SUM(F35:F38)</f>
        <v>0</v>
      </c>
    </row>
    <row r="33" spans="1:7" ht="6.9" customHeight="1">
      <c r="A33" s="36"/>
      <c r="B33" s="37"/>
      <c r="C33" s="45"/>
      <c r="D33" s="23"/>
      <c r="E33" s="24"/>
      <c r="F33" s="24"/>
      <c r="G33" s="32"/>
    </row>
    <row r="34" spans="1:7">
      <c r="A34" s="36" t="s">
        <v>52</v>
      </c>
      <c r="B34" s="46" t="s">
        <v>53</v>
      </c>
      <c r="C34" s="45"/>
      <c r="D34" s="23"/>
      <c r="E34" s="24"/>
      <c r="F34" s="24"/>
      <c r="G34" s="32"/>
    </row>
    <row r="35" spans="1:7" ht="66">
      <c r="A35" s="36" t="s">
        <v>54</v>
      </c>
      <c r="B35" s="37" t="s">
        <v>55</v>
      </c>
      <c r="C35" s="22" t="s">
        <v>56</v>
      </c>
      <c r="D35" s="23">
        <v>1</v>
      </c>
      <c r="E35" s="24"/>
      <c r="F35" s="24">
        <f t="shared" ref="F35:F38" si="2">D35*E35</f>
        <v>0</v>
      </c>
      <c r="G35" s="32"/>
    </row>
    <row r="36" spans="1:7" ht="66">
      <c r="A36" s="36" t="s">
        <v>57</v>
      </c>
      <c r="B36" s="37" t="s">
        <v>58</v>
      </c>
      <c r="C36" s="22" t="s">
        <v>56</v>
      </c>
      <c r="D36" s="23">
        <v>1</v>
      </c>
      <c r="E36" s="24"/>
      <c r="F36" s="24">
        <f t="shared" si="2"/>
        <v>0</v>
      </c>
      <c r="G36" s="32"/>
    </row>
    <row r="37" spans="1:7" ht="55.2">
      <c r="A37" s="36" t="s">
        <v>59</v>
      </c>
      <c r="B37" s="194" t="s">
        <v>60</v>
      </c>
      <c r="C37" s="195" t="s">
        <v>61</v>
      </c>
      <c r="D37" s="23">
        <f>+(0.8+0.8)*2.1</f>
        <v>3.3600000000000003</v>
      </c>
      <c r="E37" s="50"/>
      <c r="F37" s="24">
        <f t="shared" si="2"/>
        <v>0</v>
      </c>
      <c r="G37" s="52"/>
    </row>
    <row r="38" spans="1:7" ht="55.2">
      <c r="A38" s="36" t="s">
        <v>62</v>
      </c>
      <c r="B38" s="194" t="s">
        <v>63</v>
      </c>
      <c r="C38" s="195" t="s">
        <v>61</v>
      </c>
      <c r="D38" s="49">
        <v>3.04</v>
      </c>
      <c r="E38" s="50"/>
      <c r="F38" s="24">
        <f t="shared" si="2"/>
        <v>0</v>
      </c>
      <c r="G38" s="52"/>
    </row>
    <row r="39" spans="1:7">
      <c r="A39" s="47"/>
      <c r="B39" s="44"/>
      <c r="C39" s="48"/>
      <c r="D39" s="49"/>
      <c r="E39" s="50"/>
      <c r="F39" s="51"/>
      <c r="G39" s="52"/>
    </row>
    <row r="40" spans="1:7">
      <c r="A40" s="14">
        <v>6</v>
      </c>
      <c r="B40" s="301" t="s">
        <v>64</v>
      </c>
      <c r="C40" s="302"/>
      <c r="D40" s="302"/>
      <c r="E40" s="302"/>
      <c r="F40" s="303"/>
      <c r="G40" s="15">
        <f>+SUM(F42)</f>
        <v>0</v>
      </c>
    </row>
    <row r="41" spans="1:7" ht="6.9" customHeight="1">
      <c r="A41" s="36"/>
      <c r="B41" s="37"/>
      <c r="C41" s="45"/>
      <c r="D41" s="23"/>
      <c r="E41" s="24"/>
      <c r="F41" s="24"/>
      <c r="G41" s="32"/>
    </row>
    <row r="42" spans="1:7" ht="52.8">
      <c r="A42" s="36" t="s">
        <v>65</v>
      </c>
      <c r="B42" s="37" t="s">
        <v>66</v>
      </c>
      <c r="C42" s="22" t="s">
        <v>67</v>
      </c>
      <c r="D42" s="23">
        <v>1</v>
      </c>
      <c r="E42" s="24"/>
      <c r="F42" s="24">
        <f t="shared" ref="F42" si="3">D42*E42</f>
        <v>0</v>
      </c>
      <c r="G42" s="32"/>
    </row>
    <row r="43" spans="1:7">
      <c r="A43" s="36"/>
      <c r="B43" s="37"/>
      <c r="C43" s="22"/>
      <c r="D43" s="23"/>
      <c r="E43" s="24"/>
      <c r="F43" s="24"/>
      <c r="G43" s="32"/>
    </row>
    <row r="44" spans="1:7">
      <c r="A44" s="14">
        <v>7</v>
      </c>
      <c r="B44" s="301" t="s">
        <v>68</v>
      </c>
      <c r="C44" s="302"/>
      <c r="D44" s="302"/>
      <c r="E44" s="302"/>
      <c r="F44" s="303"/>
      <c r="G44" s="15">
        <f>SUM(F47:F47)</f>
        <v>0</v>
      </c>
    </row>
    <row r="45" spans="1:7">
      <c r="A45" s="47"/>
      <c r="B45" s="44"/>
      <c r="C45" s="53"/>
      <c r="D45" s="49"/>
      <c r="E45" s="50"/>
      <c r="F45" s="51"/>
      <c r="G45" s="52"/>
    </row>
    <row r="46" spans="1:7" ht="54.6">
      <c r="A46" s="47" t="s">
        <v>69</v>
      </c>
      <c r="B46" s="37" t="s">
        <v>70</v>
      </c>
      <c r="C46" s="22" t="s">
        <v>67</v>
      </c>
      <c r="D46" s="49">
        <v>1</v>
      </c>
      <c r="E46" s="50"/>
      <c r="F46" s="24">
        <f>+D46*E46</f>
        <v>0</v>
      </c>
      <c r="G46" s="52"/>
    </row>
    <row r="47" spans="1:7" ht="54.6">
      <c r="A47" s="47" t="s">
        <v>71</v>
      </c>
      <c r="B47" s="37" t="s">
        <v>72</v>
      </c>
      <c r="C47" s="22" t="s">
        <v>67</v>
      </c>
      <c r="D47" s="23">
        <v>1</v>
      </c>
      <c r="E47" s="24"/>
      <c r="F47" s="24">
        <f>+D47*E47</f>
        <v>0</v>
      </c>
      <c r="G47" s="52"/>
    </row>
    <row r="48" spans="1:7" ht="54.6">
      <c r="A48" s="47" t="s">
        <v>73</v>
      </c>
      <c r="B48" s="37" t="s">
        <v>74</v>
      </c>
      <c r="C48" s="22" t="s">
        <v>67</v>
      </c>
      <c r="D48" s="23">
        <v>1</v>
      </c>
      <c r="E48" s="24"/>
      <c r="F48" s="24">
        <f>+D48*E48</f>
        <v>0</v>
      </c>
      <c r="G48" s="32"/>
    </row>
    <row r="49" spans="1:7">
      <c r="A49" s="47"/>
      <c r="B49" s="44"/>
      <c r="C49" s="48"/>
      <c r="D49" s="49"/>
      <c r="E49" s="50"/>
      <c r="F49" s="51"/>
      <c r="G49" s="32"/>
    </row>
    <row r="50" spans="1:7">
      <c r="A50" s="14">
        <v>8</v>
      </c>
      <c r="B50" s="301" t="s">
        <v>75</v>
      </c>
      <c r="C50" s="302"/>
      <c r="D50" s="302"/>
      <c r="E50" s="302"/>
      <c r="F50" s="303"/>
      <c r="G50" s="15">
        <f>SUM(F52:F53)</f>
        <v>0</v>
      </c>
    </row>
    <row r="51" spans="1:7">
      <c r="A51" s="36"/>
      <c r="B51" s="37"/>
      <c r="C51" s="22"/>
      <c r="D51" s="23"/>
      <c r="E51" s="24"/>
      <c r="F51" s="24"/>
      <c r="G51" s="54"/>
    </row>
    <row r="52" spans="1:7" ht="69">
      <c r="A52" s="36" t="s">
        <v>76</v>
      </c>
      <c r="B52" s="196" t="s">
        <v>77</v>
      </c>
      <c r="C52" s="197" t="s">
        <v>67</v>
      </c>
      <c r="D52" s="23">
        <v>1</v>
      </c>
      <c r="E52" s="24"/>
      <c r="F52" s="24">
        <f>+D52*E52</f>
        <v>0</v>
      </c>
      <c r="G52" s="32"/>
    </row>
    <row r="53" spans="1:7" ht="55.2">
      <c r="A53" s="36" t="s">
        <v>78</v>
      </c>
      <c r="B53" s="194" t="s">
        <v>60</v>
      </c>
      <c r="C53" s="195" t="s">
        <v>61</v>
      </c>
      <c r="D53" s="23">
        <f>1.8*0.6</f>
        <v>1.08</v>
      </c>
      <c r="E53" s="24"/>
      <c r="F53" s="24">
        <f>+D53*E53</f>
        <v>0</v>
      </c>
      <c r="G53" s="32"/>
    </row>
    <row r="54" spans="1:7">
      <c r="A54" s="36"/>
      <c r="B54" s="44"/>
      <c r="C54" s="22"/>
      <c r="D54" s="23"/>
      <c r="E54" s="24"/>
      <c r="F54" s="24"/>
      <c r="G54" s="32"/>
    </row>
    <row r="55" spans="1:7">
      <c r="A55" s="14">
        <v>9</v>
      </c>
      <c r="B55" s="301" t="s">
        <v>79</v>
      </c>
      <c r="C55" s="302"/>
      <c r="D55" s="302"/>
      <c r="E55" s="302"/>
      <c r="F55" s="303"/>
      <c r="G55" s="15">
        <f>+F57</f>
        <v>0</v>
      </c>
    </row>
    <row r="56" spans="1:7">
      <c r="A56" s="36"/>
      <c r="B56" s="37"/>
      <c r="C56" s="22"/>
      <c r="D56" s="23"/>
      <c r="E56" s="24"/>
      <c r="F56" s="24"/>
      <c r="G56" s="54"/>
    </row>
    <row r="57" spans="1:7" ht="26.4">
      <c r="A57" s="47" t="s">
        <v>80</v>
      </c>
      <c r="B57" s="44" t="s">
        <v>81</v>
      </c>
      <c r="C57" s="22" t="s">
        <v>56</v>
      </c>
      <c r="D57" s="23">
        <v>1</v>
      </c>
      <c r="E57" s="24"/>
      <c r="F57" s="24">
        <f>+D57*E57</f>
        <v>0</v>
      </c>
      <c r="G57" s="32"/>
    </row>
    <row r="58" spans="1:7">
      <c r="A58" s="47"/>
      <c r="B58" s="44"/>
      <c r="C58" s="48"/>
      <c r="D58" s="49"/>
      <c r="E58" s="50"/>
      <c r="F58" s="51"/>
      <c r="G58" s="32"/>
    </row>
    <row r="59" spans="1:7">
      <c r="A59" s="14">
        <v>10</v>
      </c>
      <c r="B59" s="301" t="s">
        <v>82</v>
      </c>
      <c r="C59" s="302"/>
      <c r="D59" s="302"/>
      <c r="E59" s="302"/>
      <c r="F59" s="303"/>
      <c r="G59" s="15">
        <f>F60</f>
        <v>0</v>
      </c>
    </row>
    <row r="60" spans="1:7" ht="105.6">
      <c r="A60" s="47" t="s">
        <v>83</v>
      </c>
      <c r="B60" s="44" t="s">
        <v>84</v>
      </c>
      <c r="C60" s="22" t="s">
        <v>67</v>
      </c>
      <c r="D60" s="23">
        <v>1</v>
      </c>
      <c r="E60" s="24">
        <v>0</v>
      </c>
      <c r="F60" s="24">
        <f>D60*E60</f>
        <v>0</v>
      </c>
      <c r="G60" s="32"/>
    </row>
    <row r="61" spans="1:7" ht="15" thickBot="1">
      <c r="A61" s="47"/>
      <c r="B61" s="44"/>
      <c r="C61" s="48"/>
      <c r="D61" s="49"/>
      <c r="E61" s="50"/>
      <c r="F61" s="51"/>
      <c r="G61" s="32"/>
    </row>
    <row r="62" spans="1:7">
      <c r="A62" s="55"/>
      <c r="B62" s="304"/>
      <c r="C62" s="305"/>
      <c r="D62" s="305"/>
      <c r="E62" s="305"/>
      <c r="F62" s="306"/>
      <c r="G62" s="307">
        <f>SUM(G10:G61)</f>
        <v>0</v>
      </c>
    </row>
    <row r="63" spans="1:7" ht="15" thickBot="1">
      <c r="A63" s="56"/>
      <c r="B63" s="309" t="s">
        <v>85</v>
      </c>
      <c r="C63" s="310"/>
      <c r="D63" s="310"/>
      <c r="E63" s="310"/>
      <c r="F63" s="311"/>
      <c r="G63" s="308"/>
    </row>
    <row r="64" spans="1:7">
      <c r="G64" s="198"/>
    </row>
  </sheetData>
  <mergeCells count="22">
    <mergeCell ref="B32:F32"/>
    <mergeCell ref="B40:F40"/>
    <mergeCell ref="B44:F44"/>
    <mergeCell ref="B50:F50"/>
    <mergeCell ref="B14:F14"/>
    <mergeCell ref="B20:F20"/>
    <mergeCell ref="B25:F25"/>
    <mergeCell ref="F4:G4"/>
    <mergeCell ref="F5:G5"/>
    <mergeCell ref="F7:G7"/>
    <mergeCell ref="A9:G9"/>
    <mergeCell ref="B10:F10"/>
    <mergeCell ref="A7:A8"/>
    <mergeCell ref="B7:B8"/>
    <mergeCell ref="C7:C8"/>
    <mergeCell ref="D7:D8"/>
    <mergeCell ref="E7:E8"/>
    <mergeCell ref="B55:F55"/>
    <mergeCell ref="B59:F59"/>
    <mergeCell ref="B62:F62"/>
    <mergeCell ref="G62:G63"/>
    <mergeCell ref="B63:F6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workbookViewId="0">
      <selection activeCell="E26" sqref="E26"/>
    </sheetView>
  </sheetViews>
  <sheetFormatPr defaultRowHeight="14.4"/>
  <cols>
    <col min="1" max="1" width="7.5546875" style="4" bestFit="1" customWidth="1"/>
    <col min="2" max="2" width="39.5546875" style="3" customWidth="1"/>
    <col min="3" max="3" width="4.5546875" style="3" customWidth="1"/>
    <col min="4" max="4" width="6.5546875" style="3" customWidth="1"/>
    <col min="5" max="5" width="11.44140625" style="5" customWidth="1"/>
    <col min="6" max="6" width="11.44140625" style="5" bestFit="1" customWidth="1"/>
    <col min="7" max="7" width="12.44140625" style="3" customWidth="1"/>
  </cols>
  <sheetData>
    <row r="1" spans="1:7" ht="8.1" customHeight="1"/>
    <row r="2" spans="1:7">
      <c r="A2" s="6" t="s">
        <v>9</v>
      </c>
      <c r="B2" s="6"/>
      <c r="C2" s="6"/>
      <c r="D2" s="6"/>
      <c r="E2" s="7"/>
      <c r="F2" s="8"/>
      <c r="G2" s="6"/>
    </row>
    <row r="3" spans="1:7">
      <c r="A3" s="9" t="s">
        <v>10</v>
      </c>
      <c r="B3" s="6" t="s">
        <v>11</v>
      </c>
      <c r="C3" s="9"/>
      <c r="E3" s="10"/>
      <c r="F3" s="10"/>
      <c r="G3" s="9"/>
    </row>
    <row r="4" spans="1:7">
      <c r="A4" s="9" t="s">
        <v>12</v>
      </c>
      <c r="B4" s="6"/>
      <c r="C4" s="9"/>
      <c r="D4" s="9"/>
      <c r="E4" s="7"/>
      <c r="F4" s="312"/>
      <c r="G4" s="312"/>
    </row>
    <row r="5" spans="1:7">
      <c r="A5" s="9" t="s">
        <v>13</v>
      </c>
      <c r="B5" s="6" t="s">
        <v>86</v>
      </c>
      <c r="C5" s="9"/>
      <c r="D5" s="9"/>
      <c r="E5" s="7"/>
      <c r="F5" s="312" t="s">
        <v>87</v>
      </c>
      <c r="G5" s="312"/>
    </row>
    <row r="6" spans="1:7" ht="15" thickBot="1">
      <c r="A6" s="9"/>
      <c r="B6" s="6"/>
      <c r="C6" s="9"/>
      <c r="D6" s="9"/>
      <c r="E6" s="11"/>
      <c r="F6" s="11"/>
      <c r="G6" s="9"/>
    </row>
    <row r="7" spans="1:7" ht="15" thickBot="1">
      <c r="A7" s="318" t="s">
        <v>16</v>
      </c>
      <c r="B7" s="318" t="s">
        <v>17</v>
      </c>
      <c r="C7" s="318" t="s">
        <v>18</v>
      </c>
      <c r="D7" s="320" t="s">
        <v>19</v>
      </c>
      <c r="E7" s="322" t="s">
        <v>20</v>
      </c>
      <c r="F7" s="313" t="s">
        <v>21</v>
      </c>
      <c r="G7" s="314"/>
    </row>
    <row r="8" spans="1:7" ht="15" thickBot="1">
      <c r="A8" s="319"/>
      <c r="B8" s="319" t="s">
        <v>22</v>
      </c>
      <c r="C8" s="319" t="s">
        <v>23</v>
      </c>
      <c r="D8" s="321" t="s">
        <v>24</v>
      </c>
      <c r="E8" s="323"/>
      <c r="F8" s="12" t="s">
        <v>25</v>
      </c>
      <c r="G8" s="13" t="s">
        <v>26</v>
      </c>
    </row>
    <row r="9" spans="1:7" ht="12" customHeight="1">
      <c r="A9" s="315"/>
      <c r="B9" s="316"/>
      <c r="C9" s="316"/>
      <c r="D9" s="316"/>
      <c r="E9" s="316"/>
      <c r="F9" s="316"/>
      <c r="G9" s="317"/>
    </row>
    <row r="10" spans="1:7">
      <c r="A10" s="14">
        <v>1</v>
      </c>
      <c r="B10" s="301" t="s">
        <v>27</v>
      </c>
      <c r="C10" s="302"/>
      <c r="D10" s="302"/>
      <c r="E10" s="302"/>
      <c r="F10" s="303"/>
      <c r="G10" s="15">
        <f>+SUM(F12:F12)</f>
        <v>0</v>
      </c>
    </row>
    <row r="11" spans="1:7" ht="6.9" customHeight="1">
      <c r="A11" s="16"/>
      <c r="B11" s="17"/>
      <c r="C11" s="17"/>
      <c r="D11" s="17"/>
      <c r="E11" s="18"/>
      <c r="F11" s="18"/>
      <c r="G11" s="19"/>
    </row>
    <row r="12" spans="1:7" ht="39.6">
      <c r="A12" s="20" t="s">
        <v>28</v>
      </c>
      <c r="B12" s="21" t="s">
        <v>88</v>
      </c>
      <c r="C12" s="22" t="s">
        <v>36</v>
      </c>
      <c r="D12" s="23">
        <f>24.05*0.15</f>
        <v>3.6074999999999999</v>
      </c>
      <c r="E12" s="24"/>
      <c r="F12" s="24">
        <f>D12*E12</f>
        <v>0</v>
      </c>
      <c r="G12" s="25"/>
    </row>
    <row r="13" spans="1:7" ht="6.9" customHeight="1">
      <c r="A13" s="26"/>
      <c r="B13" s="27"/>
      <c r="C13" s="27"/>
      <c r="D13" s="27"/>
      <c r="E13" s="28"/>
      <c r="F13" s="24"/>
      <c r="G13" s="29"/>
    </row>
    <row r="14" spans="1:7">
      <c r="A14" s="14">
        <v>2</v>
      </c>
      <c r="B14" s="301" t="s">
        <v>31</v>
      </c>
      <c r="C14" s="302"/>
      <c r="D14" s="302"/>
      <c r="E14" s="302"/>
      <c r="F14" s="303"/>
      <c r="G14" s="15">
        <f>SUM(F16:F18)</f>
        <v>0</v>
      </c>
    </row>
    <row r="15" spans="1:7">
      <c r="A15" s="16"/>
      <c r="B15" s="17"/>
      <c r="C15" s="17"/>
      <c r="D15" s="17"/>
      <c r="E15" s="18"/>
      <c r="F15" s="18"/>
      <c r="G15" s="19"/>
    </row>
    <row r="16" spans="1:7" ht="92.4">
      <c r="A16" s="20" t="s">
        <v>32</v>
      </c>
      <c r="B16" s="30" t="s">
        <v>33</v>
      </c>
      <c r="C16" s="31"/>
      <c r="D16" s="23"/>
      <c r="E16" s="24"/>
      <c r="F16" s="24"/>
      <c r="G16" s="32"/>
    </row>
    <row r="17" spans="1:7" ht="15.6">
      <c r="A17" s="20" t="s">
        <v>34</v>
      </c>
      <c r="B17" s="30" t="s">
        <v>35</v>
      </c>
      <c r="C17" s="22" t="s">
        <v>36</v>
      </c>
      <c r="D17" s="23">
        <f>0.2*0.4*9.98+0.2*0.4*4.39*2+0.2*0.4*3.84+0.2*0.4*2.31*2</f>
        <v>2.1776000000000004</v>
      </c>
      <c r="E17" s="24"/>
      <c r="F17" s="24">
        <f t="shared" ref="F17:F18" si="0">D17*E17</f>
        <v>0</v>
      </c>
      <c r="G17" s="32"/>
    </row>
    <row r="18" spans="1:7" ht="15.6">
      <c r="A18" s="20" t="s">
        <v>37</v>
      </c>
      <c r="B18" s="30" t="s">
        <v>38</v>
      </c>
      <c r="C18" s="22" t="s">
        <v>36</v>
      </c>
      <c r="D18" s="23">
        <f>24.05*0.15</f>
        <v>3.6074999999999999</v>
      </c>
      <c r="E18" s="24"/>
      <c r="F18" s="24">
        <f t="shared" si="0"/>
        <v>0</v>
      </c>
      <c r="G18" s="32"/>
    </row>
    <row r="19" spans="1:7">
      <c r="A19" s="20"/>
      <c r="B19" s="30"/>
      <c r="C19" s="22"/>
      <c r="D19" s="23"/>
      <c r="E19" s="24"/>
      <c r="F19" s="24"/>
      <c r="G19" s="32"/>
    </row>
    <row r="20" spans="1:7">
      <c r="A20" s="14">
        <v>3</v>
      </c>
      <c r="B20" s="301" t="s">
        <v>39</v>
      </c>
      <c r="C20" s="302"/>
      <c r="D20" s="302"/>
      <c r="E20" s="302"/>
      <c r="F20" s="303"/>
      <c r="G20" s="15">
        <f>+SUM(F22:F22)</f>
        <v>0</v>
      </c>
    </row>
    <row r="21" spans="1:7" ht="12.75" customHeight="1">
      <c r="A21" s="16"/>
      <c r="B21" s="17"/>
      <c r="C21" s="17"/>
      <c r="D21" s="17"/>
      <c r="E21" s="18"/>
      <c r="F21" s="18"/>
      <c r="G21" s="19"/>
    </row>
    <row r="22" spans="1:7" ht="66.75" customHeight="1">
      <c r="A22" s="36" t="s">
        <v>40</v>
      </c>
      <c r="B22" s="37" t="s">
        <v>41</v>
      </c>
      <c r="C22" s="22" t="s">
        <v>30</v>
      </c>
      <c r="D22" s="23">
        <v>2.5</v>
      </c>
      <c r="E22" s="24"/>
      <c r="F22" s="24">
        <f t="shared" ref="F22" si="1">D22*E22</f>
        <v>0</v>
      </c>
      <c r="G22" s="32"/>
    </row>
    <row r="23" spans="1:7">
      <c r="A23" s="26"/>
      <c r="B23" s="33"/>
      <c r="C23" s="33"/>
      <c r="D23" s="33"/>
      <c r="E23" s="34"/>
      <c r="F23" s="34"/>
      <c r="G23" s="35"/>
    </row>
    <row r="24" spans="1:7">
      <c r="A24" s="14">
        <v>4</v>
      </c>
      <c r="B24" s="301" t="s">
        <v>42</v>
      </c>
      <c r="C24" s="302"/>
      <c r="D24" s="302"/>
      <c r="E24" s="302"/>
      <c r="F24" s="303"/>
      <c r="G24" s="15">
        <f>SUM(F26:F28)</f>
        <v>0</v>
      </c>
    </row>
    <row r="25" spans="1:7">
      <c r="A25" s="36"/>
      <c r="B25" s="37"/>
      <c r="C25" s="22"/>
      <c r="D25" s="23"/>
      <c r="E25" s="24"/>
      <c r="F25" s="24"/>
      <c r="G25" s="32"/>
    </row>
    <row r="26" spans="1:7" ht="66">
      <c r="A26" s="36" t="s">
        <v>43</v>
      </c>
      <c r="B26" s="37" t="s">
        <v>44</v>
      </c>
      <c r="C26" s="22" t="s">
        <v>30</v>
      </c>
      <c r="D26" s="23">
        <f>6.2*3+3.7</f>
        <v>22.3</v>
      </c>
      <c r="E26" s="24"/>
      <c r="F26" s="24">
        <f>+D26*E26</f>
        <v>0</v>
      </c>
      <c r="G26" s="32"/>
    </row>
    <row r="27" spans="1:7" ht="26.4">
      <c r="A27" s="36" t="s">
        <v>45</v>
      </c>
      <c r="B27" s="44" t="s">
        <v>46</v>
      </c>
      <c r="C27" s="22" t="s">
        <v>30</v>
      </c>
      <c r="D27" s="23">
        <f>28.95*2.78+D26</f>
        <v>102.78099999999999</v>
      </c>
      <c r="E27" s="24"/>
      <c r="F27" s="24">
        <f>+D27*E27</f>
        <v>0</v>
      </c>
      <c r="G27" s="32"/>
    </row>
    <row r="28" spans="1:7" ht="26.4">
      <c r="A28" s="36" t="s">
        <v>47</v>
      </c>
      <c r="B28" s="37" t="s">
        <v>48</v>
      </c>
      <c r="C28" s="22" t="s">
        <v>30</v>
      </c>
      <c r="D28" s="23">
        <v>24.05</v>
      </c>
      <c r="E28" s="24"/>
      <c r="F28" s="24">
        <f>+D28*E28</f>
        <v>0</v>
      </c>
      <c r="G28" s="32"/>
    </row>
    <row r="29" spans="1:7">
      <c r="A29" s="36"/>
      <c r="B29" s="37"/>
      <c r="C29" s="22"/>
      <c r="D29" s="23"/>
      <c r="E29" s="24"/>
      <c r="F29" s="24"/>
      <c r="G29" s="32"/>
    </row>
    <row r="30" spans="1:7">
      <c r="A30" s="14">
        <v>5</v>
      </c>
      <c r="B30" s="301" t="s">
        <v>51</v>
      </c>
      <c r="C30" s="302"/>
      <c r="D30" s="302"/>
      <c r="E30" s="302"/>
      <c r="F30" s="303"/>
      <c r="G30" s="15">
        <f>+SUM(F33:F37)</f>
        <v>0</v>
      </c>
    </row>
    <row r="31" spans="1:7" ht="6.9" customHeight="1">
      <c r="A31" s="36"/>
      <c r="B31" s="37"/>
      <c r="C31" s="45"/>
      <c r="D31" s="23"/>
      <c r="E31" s="24"/>
      <c r="F31" s="24"/>
      <c r="G31" s="32"/>
    </row>
    <row r="32" spans="1:7">
      <c r="A32" s="36" t="s">
        <v>52</v>
      </c>
      <c r="B32" s="46" t="s">
        <v>53</v>
      </c>
      <c r="C32" s="45"/>
      <c r="D32" s="23"/>
      <c r="E32" s="24"/>
      <c r="F32" s="24"/>
      <c r="G32" s="32"/>
    </row>
    <row r="33" spans="1:7" ht="66">
      <c r="A33" s="36" t="s">
        <v>54</v>
      </c>
      <c r="B33" s="37" t="s">
        <v>55</v>
      </c>
      <c r="C33" s="22" t="s">
        <v>56</v>
      </c>
      <c r="D33" s="23">
        <v>1</v>
      </c>
      <c r="E33" s="24"/>
      <c r="F33" s="24">
        <f>+D33*E33</f>
        <v>0</v>
      </c>
      <c r="G33" s="32"/>
    </row>
    <row r="34" spans="1:7" ht="66">
      <c r="A34" s="36" t="s">
        <v>57</v>
      </c>
      <c r="B34" s="37" t="s">
        <v>58</v>
      </c>
      <c r="C34" s="22" t="s">
        <v>56</v>
      </c>
      <c r="D34" s="23">
        <v>1</v>
      </c>
      <c r="E34" s="24"/>
      <c r="F34" s="24">
        <f t="shared" ref="F34:F37" si="2">+D34*E34</f>
        <v>0</v>
      </c>
      <c r="G34" s="32"/>
    </row>
    <row r="35" spans="1:7" ht="66">
      <c r="A35" s="36" t="s">
        <v>59</v>
      </c>
      <c r="B35" s="37" t="s">
        <v>89</v>
      </c>
      <c r="C35" s="22" t="s">
        <v>56</v>
      </c>
      <c r="D35" s="23">
        <v>1</v>
      </c>
      <c r="E35" s="24"/>
      <c r="F35" s="24">
        <f t="shared" si="2"/>
        <v>0</v>
      </c>
      <c r="G35" s="32"/>
    </row>
    <row r="36" spans="1:7" ht="55.2">
      <c r="A36" s="36" t="s">
        <v>62</v>
      </c>
      <c r="B36" s="194" t="s">
        <v>60</v>
      </c>
      <c r="C36" s="195" t="s">
        <v>61</v>
      </c>
      <c r="D36" s="23">
        <f>+(0.8+0.8)*2.1</f>
        <v>3.3600000000000003</v>
      </c>
      <c r="E36" s="50"/>
      <c r="F36" s="24">
        <f t="shared" si="2"/>
        <v>0</v>
      </c>
      <c r="G36" s="52"/>
    </row>
    <row r="37" spans="1:7" ht="55.2">
      <c r="A37" s="36" t="s">
        <v>90</v>
      </c>
      <c r="B37" s="194" t="s">
        <v>63</v>
      </c>
      <c r="C37" s="195" t="s">
        <v>61</v>
      </c>
      <c r="D37" s="49">
        <v>2.4300000000000002</v>
      </c>
      <c r="E37" s="50"/>
      <c r="F37" s="24">
        <f t="shared" si="2"/>
        <v>0</v>
      </c>
      <c r="G37" s="52"/>
    </row>
    <row r="38" spans="1:7" ht="6.9" customHeight="1">
      <c r="A38" s="47"/>
      <c r="B38" s="44"/>
      <c r="C38" s="48"/>
      <c r="D38" s="49"/>
      <c r="E38" s="50"/>
      <c r="F38" s="51"/>
      <c r="G38" s="52"/>
    </row>
    <row r="39" spans="1:7">
      <c r="A39" s="14">
        <v>6</v>
      </c>
      <c r="B39" s="301" t="s">
        <v>64</v>
      </c>
      <c r="C39" s="302"/>
      <c r="D39" s="302"/>
      <c r="E39" s="302"/>
      <c r="F39" s="303"/>
      <c r="G39" s="15">
        <f>+SUM(F41)</f>
        <v>0</v>
      </c>
    </row>
    <row r="40" spans="1:7">
      <c r="A40" s="36"/>
      <c r="B40" s="37"/>
      <c r="C40" s="45"/>
      <c r="D40" s="23"/>
      <c r="E40" s="24"/>
      <c r="F40" s="24"/>
      <c r="G40" s="32"/>
    </row>
    <row r="41" spans="1:7" ht="52.8">
      <c r="A41" s="36" t="s">
        <v>65</v>
      </c>
      <c r="B41" s="37" t="s">
        <v>66</v>
      </c>
      <c r="C41" s="22" t="s">
        <v>67</v>
      </c>
      <c r="D41" s="23">
        <v>1</v>
      </c>
      <c r="E41" s="24"/>
      <c r="F41" s="24">
        <f t="shared" ref="F41" si="3">D41*E41</f>
        <v>0</v>
      </c>
      <c r="G41" s="32"/>
    </row>
    <row r="42" spans="1:7">
      <c r="A42" s="36"/>
      <c r="B42" s="37"/>
      <c r="C42" s="22"/>
      <c r="D42" s="23"/>
      <c r="E42" s="24"/>
      <c r="F42" s="24"/>
      <c r="G42" s="32"/>
    </row>
    <row r="43" spans="1:7">
      <c r="A43" s="14">
        <v>7</v>
      </c>
      <c r="B43" s="301" t="s">
        <v>68</v>
      </c>
      <c r="C43" s="302"/>
      <c r="D43" s="302"/>
      <c r="E43" s="302"/>
      <c r="F43" s="303"/>
      <c r="G43" s="15">
        <f>SUM(F45:F45)</f>
        <v>0</v>
      </c>
    </row>
    <row r="44" spans="1:7">
      <c r="A44" s="47"/>
      <c r="B44" s="44"/>
      <c r="C44" s="53"/>
      <c r="D44" s="49"/>
      <c r="E44" s="50"/>
      <c r="F44" s="51"/>
      <c r="G44" s="52"/>
    </row>
    <row r="45" spans="1:7" ht="52.8">
      <c r="A45" s="36" t="s">
        <v>69</v>
      </c>
      <c r="B45" s="37" t="s">
        <v>91</v>
      </c>
      <c r="C45" s="22" t="s">
        <v>67</v>
      </c>
      <c r="D45" s="23">
        <v>1</v>
      </c>
      <c r="E45" s="24"/>
      <c r="F45" s="24">
        <f>+D45*E45</f>
        <v>0</v>
      </c>
      <c r="G45" s="32"/>
    </row>
    <row r="46" spans="1:7">
      <c r="A46" s="36"/>
      <c r="B46" s="37"/>
      <c r="C46" s="22"/>
      <c r="D46" s="23"/>
      <c r="E46" s="24"/>
      <c r="F46" s="24"/>
      <c r="G46" s="32"/>
    </row>
    <row r="47" spans="1:7">
      <c r="A47" s="14">
        <v>8</v>
      </c>
      <c r="B47" s="301" t="s">
        <v>92</v>
      </c>
      <c r="C47" s="302"/>
      <c r="D47" s="302"/>
      <c r="E47" s="302"/>
      <c r="F47" s="303"/>
      <c r="G47" s="15">
        <f>SUM(F49:F49)</f>
        <v>0</v>
      </c>
    </row>
    <row r="48" spans="1:7">
      <c r="A48" s="47"/>
      <c r="B48" s="44"/>
      <c r="C48" s="53"/>
      <c r="D48" s="49"/>
      <c r="E48" s="50"/>
      <c r="F48" s="51"/>
      <c r="G48" s="52"/>
    </row>
    <row r="49" spans="1:7" ht="66">
      <c r="A49" s="36" t="s">
        <v>76</v>
      </c>
      <c r="B49" s="37" t="s">
        <v>93</v>
      </c>
      <c r="C49" s="22" t="s">
        <v>67</v>
      </c>
      <c r="D49" s="23">
        <v>1</v>
      </c>
      <c r="E49" s="24"/>
      <c r="F49" s="24">
        <f>+D49*E49</f>
        <v>0</v>
      </c>
      <c r="G49" s="32"/>
    </row>
    <row r="50" spans="1:7">
      <c r="A50" s="36"/>
      <c r="B50" s="37"/>
      <c r="C50" s="22"/>
      <c r="D50" s="23"/>
      <c r="E50" s="24"/>
      <c r="F50" s="24"/>
      <c r="G50" s="32"/>
    </row>
    <row r="51" spans="1:7">
      <c r="A51" s="14">
        <v>9</v>
      </c>
      <c r="B51" s="301" t="s">
        <v>94</v>
      </c>
      <c r="C51" s="302"/>
      <c r="D51" s="302"/>
      <c r="E51" s="302"/>
      <c r="F51" s="303"/>
      <c r="G51" s="15">
        <f>SUM(F53:F54)</f>
        <v>0</v>
      </c>
    </row>
    <row r="52" spans="1:7">
      <c r="A52" s="36"/>
      <c r="B52" s="37"/>
      <c r="C52" s="22"/>
      <c r="D52" s="23"/>
      <c r="E52" s="24"/>
      <c r="F52" s="24"/>
      <c r="G52" s="32"/>
    </row>
    <row r="53" spans="1:7" ht="69">
      <c r="A53" s="36" t="s">
        <v>80</v>
      </c>
      <c r="B53" s="196" t="s">
        <v>77</v>
      </c>
      <c r="C53" s="197" t="s">
        <v>67</v>
      </c>
      <c r="D53" s="23">
        <v>1</v>
      </c>
      <c r="E53" s="24"/>
      <c r="F53" s="24">
        <f>+D53*E53</f>
        <v>0</v>
      </c>
      <c r="G53" s="32"/>
    </row>
    <row r="54" spans="1:7" ht="55.2">
      <c r="A54" s="36" t="s">
        <v>95</v>
      </c>
      <c r="B54" s="194" t="s">
        <v>60</v>
      </c>
      <c r="C54" s="195" t="s">
        <v>61</v>
      </c>
      <c r="D54" s="23">
        <f>1.8*0.6</f>
        <v>1.08</v>
      </c>
      <c r="E54" s="24"/>
      <c r="F54" s="24">
        <f>+D54*E54</f>
        <v>0</v>
      </c>
      <c r="G54" s="32"/>
    </row>
    <row r="55" spans="1:7">
      <c r="A55" s="36"/>
      <c r="B55" s="44"/>
      <c r="C55" s="22"/>
      <c r="D55" s="23"/>
      <c r="E55" s="24"/>
      <c r="F55" s="24"/>
      <c r="G55" s="32"/>
    </row>
    <row r="56" spans="1:7">
      <c r="A56" s="14">
        <v>10</v>
      </c>
      <c r="B56" s="301" t="s">
        <v>96</v>
      </c>
      <c r="C56" s="302"/>
      <c r="D56" s="302"/>
      <c r="E56" s="302"/>
      <c r="F56" s="303"/>
      <c r="G56" s="15">
        <f>+SUM(F59)</f>
        <v>0</v>
      </c>
    </row>
    <row r="57" spans="1:7">
      <c r="A57" s="36"/>
      <c r="B57" s="37"/>
      <c r="C57" s="22"/>
      <c r="D57" s="23"/>
      <c r="E57" s="24"/>
      <c r="F57" s="24"/>
      <c r="G57" s="32"/>
    </row>
    <row r="58" spans="1:7" ht="52.8">
      <c r="A58" s="36" t="s">
        <v>83</v>
      </c>
      <c r="B58" s="37" t="s">
        <v>97</v>
      </c>
      <c r="C58" s="22" t="s">
        <v>67</v>
      </c>
      <c r="D58" s="23">
        <v>1</v>
      </c>
      <c r="E58" s="24"/>
      <c r="F58" s="24">
        <f>+D58*E58</f>
        <v>0</v>
      </c>
      <c r="G58" s="32"/>
    </row>
    <row r="59" spans="1:7">
      <c r="A59" s="36"/>
      <c r="B59" s="44"/>
      <c r="C59" s="22"/>
      <c r="D59" s="23"/>
      <c r="E59" s="24"/>
      <c r="F59" s="24"/>
      <c r="G59" s="32"/>
    </row>
    <row r="60" spans="1:7">
      <c r="A60" s="14">
        <v>11</v>
      </c>
      <c r="B60" s="301" t="s">
        <v>98</v>
      </c>
      <c r="C60" s="302"/>
      <c r="D60" s="302"/>
      <c r="E60" s="302"/>
      <c r="F60" s="303"/>
      <c r="G60" s="15">
        <f>+SUM(F62:F63)</f>
        <v>0</v>
      </c>
    </row>
    <row r="61" spans="1:7">
      <c r="A61" s="36"/>
      <c r="B61" s="37"/>
      <c r="C61" s="22"/>
      <c r="D61" s="23"/>
      <c r="E61" s="24"/>
      <c r="F61" s="24"/>
      <c r="G61" s="32"/>
    </row>
    <row r="62" spans="1:7" ht="52.8">
      <c r="A62" s="36" t="s">
        <v>99</v>
      </c>
      <c r="B62" s="37" t="s">
        <v>100</v>
      </c>
      <c r="C62" s="22" t="s">
        <v>30</v>
      </c>
      <c r="D62" s="23">
        <v>23.5</v>
      </c>
      <c r="E62" s="24"/>
      <c r="F62" s="24">
        <f>+D62*E62</f>
        <v>0</v>
      </c>
      <c r="G62" s="32"/>
    </row>
    <row r="63" spans="1:7" ht="52.8">
      <c r="A63" s="36" t="s">
        <v>101</v>
      </c>
      <c r="B63" s="37" t="s">
        <v>102</v>
      </c>
      <c r="C63" s="22" t="s">
        <v>103</v>
      </c>
      <c r="D63" s="23">
        <v>1</v>
      </c>
      <c r="E63" s="24"/>
      <c r="F63" s="24">
        <f>+D63*E63</f>
        <v>0</v>
      </c>
      <c r="G63" s="32"/>
    </row>
    <row r="64" spans="1:7" ht="15" thickBot="1">
      <c r="A64" s="36"/>
      <c r="B64" s="57"/>
      <c r="C64" s="22"/>
      <c r="D64" s="58"/>
      <c r="E64" s="24"/>
      <c r="F64" s="24"/>
      <c r="G64" s="32"/>
    </row>
    <row r="65" spans="1:7">
      <c r="A65" s="55"/>
      <c r="B65" s="304"/>
      <c r="C65" s="305"/>
      <c r="D65" s="305"/>
      <c r="E65" s="305"/>
      <c r="F65" s="324"/>
      <c r="G65" s="325">
        <f>SUM(G10:G64)</f>
        <v>0</v>
      </c>
    </row>
    <row r="66" spans="1:7" ht="15" thickBot="1">
      <c r="A66" s="56"/>
      <c r="B66" s="309" t="s">
        <v>85</v>
      </c>
      <c r="C66" s="310"/>
      <c r="D66" s="310"/>
      <c r="E66" s="310"/>
      <c r="F66" s="327"/>
      <c r="G66" s="326"/>
    </row>
  </sheetData>
  <mergeCells count="23">
    <mergeCell ref="B30:F30"/>
    <mergeCell ref="F4:G4"/>
    <mergeCell ref="F5:G5"/>
    <mergeCell ref="A7:A8"/>
    <mergeCell ref="B7:B8"/>
    <mergeCell ref="C7:C8"/>
    <mergeCell ref="D7:D8"/>
    <mergeCell ref="E7:E8"/>
    <mergeCell ref="F7:G7"/>
    <mergeCell ref="A9:G9"/>
    <mergeCell ref="B10:F10"/>
    <mergeCell ref="B14:F14"/>
    <mergeCell ref="B20:F20"/>
    <mergeCell ref="B24:F24"/>
    <mergeCell ref="B65:F65"/>
    <mergeCell ref="G65:G66"/>
    <mergeCell ref="B66:F66"/>
    <mergeCell ref="B39:F39"/>
    <mergeCell ref="B43:F43"/>
    <mergeCell ref="B47:F47"/>
    <mergeCell ref="B51:F51"/>
    <mergeCell ref="B56:F56"/>
    <mergeCell ref="B60:F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9</vt:i4>
      </vt:variant>
    </vt:vector>
  </HeadingPairs>
  <TitlesOfParts>
    <vt:vector size="9" baseType="lpstr">
      <vt:lpstr>Lista</vt:lpstr>
      <vt:lpstr>CAP.0-ESTALEIRO</vt:lpstr>
      <vt:lpstr>Hirondina Gamboa De Aguiar</vt:lpstr>
      <vt:lpstr>Maria Mafalda Correia Lopes</vt:lpstr>
      <vt:lpstr>Maria Eduarda Pina Ribeiro</vt:lpstr>
      <vt:lpstr>Domingas Mendes Moreno</vt:lpstr>
      <vt:lpstr>Maria Elisabeth Soares Rebeiro</vt:lpstr>
      <vt:lpstr>MARIA MAGDALENA MONTEIRO RAMOS</vt:lpstr>
      <vt:lpstr>Maria Sábado Odete Tavares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MIOTH / Assessora - Amelvira Moreira Borges Tavares</dc:creator>
  <cp:lastModifiedBy>Carlos Pinheiro</cp:lastModifiedBy>
  <dcterms:created xsi:type="dcterms:W3CDTF">2022-06-10T13:18:18Z</dcterms:created>
  <dcterms:modified xsi:type="dcterms:W3CDTF">2024-01-05T16:04:38Z</dcterms:modified>
</cp:coreProperties>
</file>