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 Pinheiro\Desktop\Dossier Concurso_Eugenio Lima\Dossier Concurso_Eugénio Lima_Lote 1 e 2\1_Mapa de medições\"/>
    </mc:Choice>
  </mc:AlternateContent>
  <bookViews>
    <workbookView xWindow="0" yWindow="0" windowWidth="23040" windowHeight="9072" tabRatio="839"/>
  </bookViews>
  <sheets>
    <sheet name="Lista" sheetId="39" r:id="rId1"/>
    <sheet name="CAP.0-ESTALEIRO" sheetId="48" r:id="rId2"/>
    <sheet name="Edson Lima Neves" sheetId="41" r:id="rId3"/>
    <sheet name="Jandira Helena Melo Lopes" sheetId="43" r:id="rId4"/>
    <sheet name="MARIA DE BRITO" sheetId="35" r:id="rId5"/>
    <sheet name="Elisangela Suzana Varela" sheetId="46" r:id="rId6"/>
    <sheet name="ADILSON SEMEDO" sheetId="38" r:id="rId7"/>
    <sheet name="PAULINO FURTADO" sheetId="28" r:id="rId8"/>
    <sheet name="Domingas Vaz Silva" sheetId="47" r:id="rId9"/>
  </sheets>
  <definedNames>
    <definedName name="_xlnm.Print_Titles" localSheetId="6">'ADILSON SEMEDO'!#REF!</definedName>
    <definedName name="_xlnm.Print_Titles" localSheetId="4">'MARIA DE BRITO'!#REF!</definedName>
    <definedName name="_xlnm.Print_Titles" localSheetId="7">'PAULINO FURTADO'!#REF!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8" l="1"/>
  <c r="G8" i="48"/>
  <c r="G12" i="48" s="1"/>
  <c r="F70" i="41" l="1"/>
  <c r="G68" i="41" s="1"/>
  <c r="F66" i="41"/>
  <c r="D66" i="41"/>
  <c r="F65" i="41"/>
  <c r="G63" i="41"/>
  <c r="F61" i="41"/>
  <c r="F60" i="41"/>
  <c r="F59" i="41"/>
  <c r="G57" i="41"/>
  <c r="F55" i="41"/>
  <c r="F54" i="41"/>
  <c r="G52" i="41"/>
  <c r="F50" i="41"/>
  <c r="G48" i="41"/>
  <c r="F46" i="41"/>
  <c r="D44" i="41"/>
  <c r="F44" i="41" s="1"/>
  <c r="F43" i="41"/>
  <c r="D43" i="41"/>
  <c r="D42" i="41"/>
  <c r="F42" i="41" s="1"/>
  <c r="D41" i="41"/>
  <c r="F41" i="41" s="1"/>
  <c r="D36" i="41"/>
  <c r="F36" i="41" s="1"/>
  <c r="D35" i="41"/>
  <c r="F35" i="41" s="1"/>
  <c r="D34" i="41"/>
  <c r="F34" i="41" s="1"/>
  <c r="G32" i="41" s="1"/>
  <c r="F30" i="41"/>
  <c r="G28" i="41" s="1"/>
  <c r="D30" i="41"/>
  <c r="D26" i="41"/>
  <c r="F26" i="41" s="1"/>
  <c r="D25" i="41"/>
  <c r="D24" i="41"/>
  <c r="F24" i="41" s="1"/>
  <c r="D23" i="41"/>
  <c r="F23" i="41" s="1"/>
  <c r="D21" i="41"/>
  <c r="F21" i="41" s="1"/>
  <c r="G19" i="41" s="1"/>
  <c r="D17" i="41"/>
  <c r="F17" i="41" s="1"/>
  <c r="G15" i="41" s="1"/>
  <c r="F13" i="41"/>
  <c r="D13" i="41"/>
  <c r="D12" i="41"/>
  <c r="F12" i="41" s="1"/>
  <c r="D11" i="41"/>
  <c r="F11" i="41" s="1"/>
  <c r="D10" i="41"/>
  <c r="F10" i="41" s="1"/>
  <c r="F77" i="47"/>
  <c r="F76" i="47"/>
  <c r="F75" i="47"/>
  <c r="G73" i="47"/>
  <c r="F71" i="47"/>
  <c r="G69" i="47"/>
  <c r="D67" i="47"/>
  <c r="F67" i="47" s="1"/>
  <c r="G64" i="47" s="1"/>
  <c r="F66" i="47"/>
  <c r="F62" i="47"/>
  <c r="F61" i="47"/>
  <c r="G59" i="47" s="1"/>
  <c r="F57" i="47"/>
  <c r="G55" i="47"/>
  <c r="F53" i="47"/>
  <c r="F52" i="47"/>
  <c r="G50" i="47" s="1"/>
  <c r="F48" i="47"/>
  <c r="F47" i="47"/>
  <c r="F46" i="47"/>
  <c r="D44" i="47"/>
  <c r="F44" i="47" s="1"/>
  <c r="D42" i="47"/>
  <c r="D43" i="47" s="1"/>
  <c r="F43" i="47" s="1"/>
  <c r="F37" i="47"/>
  <c r="D37" i="47"/>
  <c r="F36" i="47"/>
  <c r="D36" i="47"/>
  <c r="D35" i="47"/>
  <c r="F35" i="47" s="1"/>
  <c r="G33" i="47" s="1"/>
  <c r="F31" i="47"/>
  <c r="D31" i="47"/>
  <c r="D30" i="47"/>
  <c r="F30" i="47" s="1"/>
  <c r="G28" i="47" s="1"/>
  <c r="D26" i="47"/>
  <c r="F26" i="47" s="1"/>
  <c r="D25" i="47"/>
  <c r="F25" i="47" s="1"/>
  <c r="F24" i="47"/>
  <c r="D24" i="47"/>
  <c r="F23" i="47"/>
  <c r="D23" i="47"/>
  <c r="D21" i="47"/>
  <c r="F21" i="47" s="1"/>
  <c r="G19" i="47" s="1"/>
  <c r="F17" i="47"/>
  <c r="G15" i="47" s="1"/>
  <c r="D17" i="47"/>
  <c r="D13" i="47"/>
  <c r="F13" i="47" s="1"/>
  <c r="D12" i="47"/>
  <c r="F12" i="47" s="1"/>
  <c r="F83" i="46"/>
  <c r="G81" i="46"/>
  <c r="F79" i="46"/>
  <c r="F78" i="46"/>
  <c r="F77" i="46"/>
  <c r="F76" i="46"/>
  <c r="F75" i="46"/>
  <c r="G73" i="46"/>
  <c r="F71" i="46"/>
  <c r="D70" i="46"/>
  <c r="F70" i="46" s="1"/>
  <c r="G68" i="46" s="1"/>
  <c r="F66" i="46"/>
  <c r="F65" i="46"/>
  <c r="G61" i="46" s="1"/>
  <c r="F64" i="46"/>
  <c r="F63" i="46"/>
  <c r="D59" i="46"/>
  <c r="F59" i="46" s="1"/>
  <c r="F58" i="46"/>
  <c r="G56" i="46"/>
  <c r="F54" i="46"/>
  <c r="G52" i="46"/>
  <c r="F50" i="46"/>
  <c r="G48" i="46"/>
  <c r="F46" i="46"/>
  <c r="G44" i="46"/>
  <c r="D42" i="46"/>
  <c r="F42" i="46" s="1"/>
  <c r="D41" i="46"/>
  <c r="F41" i="46" s="1"/>
  <c r="D40" i="46"/>
  <c r="F40" i="46" s="1"/>
  <c r="G37" i="46" s="1"/>
  <c r="D35" i="46"/>
  <c r="F35" i="46" s="1"/>
  <c r="G33" i="46" s="1"/>
  <c r="D31" i="46"/>
  <c r="F31" i="46" s="1"/>
  <c r="D30" i="46"/>
  <c r="F30" i="46" s="1"/>
  <c r="G28" i="46" s="1"/>
  <c r="D26" i="46"/>
  <c r="F26" i="46" s="1"/>
  <c r="D25" i="46"/>
  <c r="F25" i="46" s="1"/>
  <c r="F24" i="46"/>
  <c r="D24" i="46"/>
  <c r="D23" i="46"/>
  <c r="F23" i="46" s="1"/>
  <c r="D21" i="46"/>
  <c r="F21" i="46" s="1"/>
  <c r="F17" i="46"/>
  <c r="G15" i="46" s="1"/>
  <c r="D17" i="46"/>
  <c r="D13" i="46"/>
  <c r="F13" i="46" s="1"/>
  <c r="D12" i="46"/>
  <c r="F12" i="46" s="1"/>
  <c r="G10" i="46" s="1"/>
  <c r="F79" i="43"/>
  <c r="F78" i="43"/>
  <c r="F77" i="43"/>
  <c r="G75" i="43" s="1"/>
  <c r="F73" i="43"/>
  <c r="F72" i="43"/>
  <c r="G70" i="43"/>
  <c r="D68" i="43"/>
  <c r="F68" i="43" s="1"/>
  <c r="F67" i="43"/>
  <c r="G65" i="43"/>
  <c r="D63" i="43"/>
  <c r="F63" i="43" s="1"/>
  <c r="G60" i="43" s="1"/>
  <c r="F62" i="43"/>
  <c r="F58" i="43"/>
  <c r="G56" i="43"/>
  <c r="F54" i="43"/>
  <c r="G52" i="43"/>
  <c r="F50" i="43"/>
  <c r="F49" i="43"/>
  <c r="F48" i="43"/>
  <c r="D46" i="43"/>
  <c r="F46" i="43" s="1"/>
  <c r="D44" i="43"/>
  <c r="D45" i="43" s="1"/>
  <c r="F45" i="43" s="1"/>
  <c r="D39" i="43"/>
  <c r="F39" i="43" s="1"/>
  <c r="D38" i="43"/>
  <c r="F38" i="43" s="1"/>
  <c r="D37" i="43"/>
  <c r="F37" i="43" s="1"/>
  <c r="D36" i="43"/>
  <c r="F36" i="43" s="1"/>
  <c r="G34" i="43" s="1"/>
  <c r="D32" i="43"/>
  <c r="F32" i="43" s="1"/>
  <c r="D31" i="43"/>
  <c r="F31" i="43" s="1"/>
  <c r="G29" i="43" s="1"/>
  <c r="D27" i="43"/>
  <c r="F27" i="43" s="1"/>
  <c r="D26" i="43"/>
  <c r="F26" i="43" s="1"/>
  <c r="D25" i="43"/>
  <c r="F25" i="43" s="1"/>
  <c r="F24" i="43"/>
  <c r="D24" i="43"/>
  <c r="D22" i="43"/>
  <c r="F22" i="43" s="1"/>
  <c r="D18" i="43"/>
  <c r="F18" i="43" s="1"/>
  <c r="G16" i="43" s="1"/>
  <c r="D14" i="43"/>
  <c r="F14" i="43" s="1"/>
  <c r="D13" i="43"/>
  <c r="F13" i="43" s="1"/>
  <c r="D12" i="43"/>
  <c r="F12" i="43" s="1"/>
  <c r="G10" i="43" s="1"/>
  <c r="G8" i="41" l="1"/>
  <c r="G38" i="41"/>
  <c r="G10" i="47"/>
  <c r="F42" i="47"/>
  <c r="G39" i="47" s="1"/>
  <c r="G19" i="46"/>
  <c r="G85" i="46" s="1"/>
  <c r="G20" i="43"/>
  <c r="F44" i="43"/>
  <c r="G41" i="43" s="1"/>
  <c r="G81" i="43" s="1"/>
  <c r="G72" i="41" l="1"/>
  <c r="G79" i="47"/>
  <c r="F60" i="28" l="1"/>
  <c r="D59" i="28"/>
  <c r="F59" i="28" s="1"/>
  <c r="G57" i="28" s="1"/>
  <c r="F55" i="28"/>
  <c r="G53" i="28" s="1"/>
  <c r="F51" i="28"/>
  <c r="G49" i="28" s="1"/>
  <c r="F47" i="28"/>
  <c r="G45" i="28"/>
  <c r="D43" i="28"/>
  <c r="F43" i="28" s="1"/>
  <c r="F42" i="28"/>
  <c r="G40" i="28" s="1"/>
  <c r="F38" i="28"/>
  <c r="G36" i="28" s="1"/>
  <c r="F34" i="28"/>
  <c r="G32" i="28"/>
  <c r="F30" i="28"/>
  <c r="G28" i="28"/>
  <c r="F26" i="28"/>
  <c r="G24" i="28" s="1"/>
  <c r="D26" i="28"/>
  <c r="D22" i="28"/>
  <c r="F22" i="28" s="1"/>
  <c r="G20" i="28" s="1"/>
  <c r="D18" i="28"/>
  <c r="F18" i="28" s="1"/>
  <c r="F17" i="28"/>
  <c r="G14" i="28" s="1"/>
  <c r="D17" i="28"/>
  <c r="D12" i="28"/>
  <c r="F12" i="28" s="1"/>
  <c r="G10" i="28" s="1"/>
  <c r="F65" i="38"/>
  <c r="G63" i="38" s="1"/>
  <c r="F61" i="38"/>
  <c r="F60" i="38"/>
  <c r="G58" i="38" s="1"/>
  <c r="D56" i="38"/>
  <c r="F56" i="38" s="1"/>
  <c r="F55" i="38"/>
  <c r="G53" i="38" s="1"/>
  <c r="F51" i="38"/>
  <c r="G49" i="38"/>
  <c r="F47" i="38"/>
  <c r="G45" i="38"/>
  <c r="F43" i="38"/>
  <c r="G41" i="38"/>
  <c r="F39" i="38"/>
  <c r="D38" i="38"/>
  <c r="F38" i="38" s="1"/>
  <c r="F37" i="38"/>
  <c r="F36" i="38"/>
  <c r="F35" i="38"/>
  <c r="G32" i="38" s="1"/>
  <c r="F30" i="38"/>
  <c r="D28" i="38"/>
  <c r="D29" i="38" s="1"/>
  <c r="F29" i="38" s="1"/>
  <c r="F24" i="38"/>
  <c r="D23" i="38"/>
  <c r="F23" i="38" s="1"/>
  <c r="D19" i="38"/>
  <c r="F19" i="38" s="1"/>
  <c r="D18" i="38"/>
  <c r="F18" i="38" s="1"/>
  <c r="D13" i="38"/>
  <c r="F13" i="38" s="1"/>
  <c r="F12" i="38"/>
  <c r="D12" i="38"/>
  <c r="F63" i="35"/>
  <c r="G61" i="35"/>
  <c r="F59" i="35"/>
  <c r="G57" i="35" s="1"/>
  <c r="F55" i="35"/>
  <c r="G52" i="35" s="1"/>
  <c r="D55" i="35"/>
  <c r="F54" i="35"/>
  <c r="F50" i="35"/>
  <c r="G48" i="35"/>
  <c r="F46" i="35"/>
  <c r="G44" i="35"/>
  <c r="F42" i="35"/>
  <c r="G40" i="35" s="1"/>
  <c r="F38" i="35"/>
  <c r="F37" i="35"/>
  <c r="D37" i="35"/>
  <c r="F36" i="35"/>
  <c r="G31" i="35" s="1"/>
  <c r="F35" i="35"/>
  <c r="F34" i="35"/>
  <c r="F29" i="35"/>
  <c r="F28" i="35"/>
  <c r="D28" i="35"/>
  <c r="F27" i="35"/>
  <c r="F26" i="35"/>
  <c r="D22" i="35"/>
  <c r="F22" i="35" s="1"/>
  <c r="G20" i="35" s="1"/>
  <c r="D18" i="35"/>
  <c r="F18" i="35" s="1"/>
  <c r="D17" i="35"/>
  <c r="F17" i="35" s="1"/>
  <c r="G14" i="35" s="1"/>
  <c r="F12" i="35"/>
  <c r="G10" i="35" s="1"/>
  <c r="G62" i="28" l="1"/>
  <c r="G21" i="38"/>
  <c r="G24" i="35"/>
  <c r="G65" i="35"/>
  <c r="G15" i="38"/>
  <c r="G10" i="38"/>
  <c r="F28" i="38"/>
  <c r="G26" i="38" s="1"/>
  <c r="G67" i="38" l="1"/>
</calcChain>
</file>

<file path=xl/comments1.xml><?xml version="1.0" encoding="utf-8"?>
<comments xmlns="http://schemas.openxmlformats.org/spreadsheetml/2006/main">
  <authors>
    <author>DGH</author>
  </authors>
  <commentList>
    <comment ref="B50" authorId="0" shapeId="0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Especificar para casos mais concretos (ex uando falte apenas uma peça da sanita tipo tampa ou autoclismo)
</t>
        </r>
      </text>
    </comment>
  </commentList>
</comments>
</file>

<file path=xl/comments2.xml><?xml version="1.0" encoding="utf-8"?>
<comments xmlns="http://schemas.openxmlformats.org/spreadsheetml/2006/main">
  <authors>
    <author>DGH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Especificar para casos mais concretos (ex uando falte apenas uma peça da sanita tipo tampa ou autoclismo)
</t>
        </r>
      </text>
    </comment>
  </commentList>
</comments>
</file>

<file path=xl/sharedStrings.xml><?xml version="1.0" encoding="utf-8"?>
<sst xmlns="http://schemas.openxmlformats.org/spreadsheetml/2006/main" count="809" uniqueCount="225">
  <si>
    <t>Nº</t>
  </si>
  <si>
    <t>Benificiária (o)</t>
  </si>
  <si>
    <t>Edson Lima Neves</t>
  </si>
  <si>
    <t>Jandira Helena Melo Lopes</t>
  </si>
  <si>
    <t>Maria Isabel Moniz Mendes de Brito</t>
  </si>
  <si>
    <t>Elisangela Suzana Varela Monteiro</t>
  </si>
  <si>
    <t>Adilson Gomes Semedo</t>
  </si>
  <si>
    <t>Paulino Lopes Furtado</t>
  </si>
  <si>
    <t>Domingas Vaz Silva</t>
  </si>
  <si>
    <t>REQ.</t>
  </si>
  <si>
    <t>LOCAL</t>
  </si>
  <si>
    <t>EUGÉNIO LIMA - MUNICÍPIO DA PRAIA</t>
  </si>
  <si>
    <t>OBRA</t>
  </si>
  <si>
    <t>PROPR.</t>
  </si>
  <si>
    <t>MARIA ISABEL MONIZ MENDES DE BRITO</t>
  </si>
  <si>
    <t>Data: OUTUBRO DE 2023</t>
  </si>
  <si>
    <t>Art.</t>
  </si>
  <si>
    <t>Designação</t>
  </si>
  <si>
    <t>Un.</t>
  </si>
  <si>
    <t>Quant.</t>
  </si>
  <si>
    <t>Preço Unitário</t>
  </si>
  <si>
    <t>Importância</t>
  </si>
  <si>
    <t>Designação dos Trabalhos</t>
  </si>
  <si>
    <t>Un</t>
  </si>
  <si>
    <t>Quantid.</t>
  </si>
  <si>
    <t>Por Artigo</t>
  </si>
  <si>
    <t>Por Capítulo</t>
  </si>
  <si>
    <t>CAP I - TRABALHOS PREPARATÓRIOS / DEMOLIÇÃO</t>
  </si>
  <si>
    <t>1.1</t>
  </si>
  <si>
    <r>
      <t xml:space="preserve">Remoção de cobertura em </t>
    </r>
    <r>
      <rPr>
        <b/>
        <sz val="11"/>
        <rFont val="Times New Roman"/>
        <family val="1"/>
      </rPr>
      <t>chapa metálica</t>
    </r>
    <r>
      <rPr>
        <sz val="11"/>
        <rFont val="Times New Roman"/>
        <family val="1"/>
      </rPr>
      <t xml:space="preserve"> incluindo escoramento da estrutura existente, a remoção e transporte de entulho para o vazadouro municipal. </t>
    </r>
  </si>
  <si>
    <r>
      <t>m</t>
    </r>
    <r>
      <rPr>
        <vertAlign val="superscript"/>
        <sz val="1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</si>
  <si>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CAP II - ESTRUTURAS DE BETÃO</t>
  </si>
  <si>
    <t>2.1</t>
  </si>
  <si>
    <t>Fornecimento e aplicação de betão C25/30 (B30), S3 em elementos estruturais, incluindo armadura em aço A500NR e cofragem mista de madeira e metálica, uso de vibrador de agulha, testes, todos os trabalhos e acessórios complementares, correta aplicação da sua desmontagem e cura:</t>
  </si>
  <si>
    <t>2.1.1</t>
  </si>
  <si>
    <t>Vigas</t>
  </si>
  <si>
    <r>
      <t>m</t>
    </r>
    <r>
      <rPr>
        <vertAlign val="superscript"/>
        <sz val="11"/>
        <rFont val="Times New Roman"/>
        <family val="1"/>
      </rPr>
      <t>3</t>
    </r>
  </si>
  <si>
    <t>2.1.2</t>
  </si>
  <si>
    <t>Lajes Maciças</t>
  </si>
  <si>
    <t xml:space="preserve">CAP III - ALVENARIA </t>
  </si>
  <si>
    <t>3.1</t>
  </si>
  <si>
    <t>Execução de alvenarias em blocos (20x20x40 cm)  de betão, assentes com argamassa de cimento e areia ao traço 1:4, incluindo todos os trabalhos e acessórios complementares, com as dimensões:</t>
  </si>
  <si>
    <t xml:space="preserve">CAP IV - REVESTIMENTO </t>
  </si>
  <si>
    <t>4.1</t>
  </si>
  <si>
    <t>Fornecimento e execução de salpico e reboco de paredes interiores e exteriores com argamassa de cimento e areia ao traço de 1:4 incluíndo execução de arestas e todos os trabalhos e meios necessários para sua boa execução.</t>
  </si>
  <si>
    <t>4.2</t>
  </si>
  <si>
    <t>Pintura  interior e exterior com duas demãos de tintas de água Contrato incluindo barração.</t>
  </si>
  <si>
    <t>4.3</t>
  </si>
  <si>
    <t>Pintura  Teto com duas demãos de tintas de água Contrato incluindo barração.</t>
  </si>
  <si>
    <t>4.4</t>
  </si>
  <si>
    <t>Fornecimento e execução de betonilha afagada, ao traço 1:3:5, com 5cm de espessura sobre os pavimentos de betão, incluindo todos os trabalhos complementares.</t>
  </si>
  <si>
    <t>CAP V -INSTALAÇÃO SANITÁRIA (WC)</t>
  </si>
  <si>
    <t>5</t>
  </si>
  <si>
    <t xml:space="preserve">Equipamentos Sanitários incluindo </t>
  </si>
  <si>
    <t>5.1.1</t>
  </si>
  <si>
    <t>Fornecimento e assentamento de lavatórios, incluindo torneiras, prever todos os acessórios de fixação, ligações a rede de água e esgoto, assim como o respectivo ensaio de modo a funcionar nas perfeitas condições.</t>
  </si>
  <si>
    <t>un.</t>
  </si>
  <si>
    <t>5.1.2</t>
  </si>
  <si>
    <t>Fornecimento e assentamento de sanita, incluindo autoclismo, prever todos os acessórios de fixação, ligações a rede de água e esgoto, assim como o respectivo ensaio de modo a funcionar nas perfeitas condições.</t>
  </si>
  <si>
    <t>5.1.3</t>
  </si>
  <si>
    <t>Fornecimento e assentamento de base de duche, prever todos os acessórios de fixação, ligações a rede de água e esgoto, assim como o respectivo ensaio de modo a funcionar nas perfeitas condições.</t>
  </si>
  <si>
    <t>5.1.4</t>
  </si>
  <si>
    <t>Fornecimento e assentamento de azulejo, cor a definir com 30x30cm, prever assentamento com cimento-cola, após a secagem da base, cortes remates e betumes</t>
  </si>
  <si>
    <t>5.1.5</t>
  </si>
  <si>
    <t>Fornecimento e assentamento de mosaico antederrapante, assentamento com cimento-cola, após a secagem da base, cortes remates e betumes.</t>
  </si>
  <si>
    <t>CAP VI - ELETRICIDADE</t>
  </si>
  <si>
    <t>6.1</t>
  </si>
  <si>
    <t>Reposição e instalação de tubagens e fios em
lajes para pontos de iluminação e acesso a
rede, incluinto todos os trabalhos e acessórios complementares.</t>
  </si>
  <si>
    <t>vg</t>
  </si>
  <si>
    <t xml:space="preserve">CAP VII - REDE DE ÁGUA </t>
  </si>
  <si>
    <t>7.1</t>
  </si>
  <si>
    <t>Fornecimento e instalação de rede de água, incluindo os acessórios, ligações e todos os trabalhos acessórios necessários para o seu bom funcionamento.</t>
  </si>
  <si>
    <t>CAP VIII - REDE DE ESGOTO</t>
  </si>
  <si>
    <t>8.1</t>
  </si>
  <si>
    <t>Fornecimento e instalação de rede de esgotos , incluindo tubagens PVC, abertura e tapamento de roços, acessórios, ligações e todos os trabalhos acessórios necessários para o seu bom funcionamento.</t>
  </si>
  <si>
    <t>CAP IX - COZINHA</t>
  </si>
  <si>
    <t>9.1</t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</si>
  <si>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1"/>
        <rFont val="Times New Roman"/>
        <family val="1"/>
      </rPr>
      <t>conforme o projeto de arquitetura.</t>
    </r>
  </si>
  <si>
    <t>9.2</t>
  </si>
  <si>
    <t>CAP X - CLARABÓIA</t>
  </si>
  <si>
    <t>10.1</t>
  </si>
  <si>
    <t xml:space="preserve">Execução de claraboia retangular de secção com dimensões equivalentes á abertura na laje / saguão. Com cobertura de telha translucida (polipropereno) e base em alvenaria de bloco, em conformidade com o projeto de arquitetura. Incluindo todos os trabalhos e acessórios necessários ao seu perfeito funcionamento e acabamento final. </t>
  </si>
  <si>
    <t>CAP XI - CARPINTARIA</t>
  </si>
  <si>
    <t>11.1</t>
  </si>
  <si>
    <t>Fornecimento e colocação de Porta (  210*80  ),  todos os trabalhos acessórios e complementares.</t>
  </si>
  <si>
    <t>un</t>
  </si>
  <si>
    <t>TOTAL GERAL:</t>
  </si>
  <si>
    <t>ADILSON GOMES SEMEDO</t>
  </si>
  <si>
    <t>1.2</t>
  </si>
  <si>
    <r>
      <t>Demolição de</t>
    </r>
    <r>
      <rPr>
        <b/>
        <sz val="11"/>
        <rFont val="Times New Roman"/>
        <family val="1"/>
      </rPr>
      <t xml:space="preserve"> parede de bloco</t>
    </r>
    <r>
      <rPr>
        <sz val="11"/>
        <rFont val="Times New Roman"/>
        <family val="1"/>
      </rPr>
      <t xml:space="preserve"> existente, incluindo escoramento da estrutura existente, a remoção e transporte de entulho para o vazadouro municipal.</t>
    </r>
  </si>
  <si>
    <t>3.2</t>
  </si>
  <si>
    <r>
      <t>Reestabelecimento do Pé-direito após demolição de elementos estruturais mediante a execução de alvenarias em blocos (20x</t>
    </r>
    <r>
      <rPr>
        <b/>
        <sz val="11"/>
        <rFont val="Calibri"/>
        <family val="2"/>
        <scheme val="minor"/>
      </rPr>
      <t>20</t>
    </r>
    <r>
      <rPr>
        <sz val="11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</si>
  <si>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t>4</t>
  </si>
  <si>
    <t>5.1</t>
  </si>
  <si>
    <t>CAP X - CARPINTARIA</t>
  </si>
  <si>
    <t>Fornecimento e colocação de Porta ( 210*78),  todos os trabalhos acessórios e complementares.</t>
  </si>
  <si>
    <t>10.3</t>
  </si>
  <si>
    <t>Reparação de caixilharia exterior de madeira, através da correção de desenquadramentos e substituição de ferragens deterioradas. Incluindo reposição de revestimentos e pinturas.</t>
  </si>
  <si>
    <t>CAP XI - CLARABÓIA</t>
  </si>
  <si>
    <t>11</t>
  </si>
  <si>
    <t>PAULINO LOPES FURTADO</t>
  </si>
  <si>
    <r>
      <t xml:space="preserve">Demolição da </t>
    </r>
    <r>
      <rPr>
        <b/>
        <sz val="11"/>
        <rFont val="Times New Roman"/>
        <family val="1"/>
      </rPr>
      <t>laje em betão armado</t>
    </r>
    <r>
      <rPr>
        <sz val="11"/>
        <rFont val="Times New Roman"/>
        <family val="1"/>
      </rPr>
      <t>, incluindo escoramento da estrutura existente, a remoção e transporte de entulho para o vazadouro municipal.</t>
    </r>
  </si>
  <si>
    <t>CAP V - ELETRICIDADE</t>
  </si>
  <si>
    <t xml:space="preserve">CAP VI - REDE DE ÁGUA </t>
  </si>
  <si>
    <t>CAP VII - REDE DE ESGOTO</t>
  </si>
  <si>
    <t>CAP VIII - COZINHA</t>
  </si>
  <si>
    <t>8.2</t>
  </si>
  <si>
    <t xml:space="preserve">CAP IX - CAIXILHARIA (Reabilitação) </t>
  </si>
  <si>
    <t>Fornecimento e colocação de janela (1,51*1,00),  todos os trabalhos acessórios e complementares.</t>
  </si>
  <si>
    <t>CAP XII -INSTALAÇÃO SANITÁRIA (WC)</t>
  </si>
  <si>
    <t>12.1</t>
  </si>
  <si>
    <t>12.2</t>
  </si>
  <si>
    <t>JANDIRA HELENA MELO LOPES</t>
  </si>
  <si>
    <r>
      <t xml:space="preserve">Remoção de cobertura em </t>
    </r>
    <r>
      <rPr>
        <b/>
        <sz val="10"/>
        <rFont val="Calibri"/>
        <family val="2"/>
        <scheme val="minor"/>
      </rPr>
      <t>telha fibrocimento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</si>
  <si>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</si>
  <si>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 xml:space="preserve">Remoção de cobertura em </t>
    </r>
    <r>
      <rPr>
        <b/>
        <sz val="10"/>
        <rFont val="Calibri"/>
        <family val="2"/>
        <scheme val="minor"/>
      </rPr>
      <t>chapa metálica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</si>
  <si>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t>1.3</t>
  </si>
  <si>
    <r>
      <t>Demolição pontual de</t>
    </r>
    <r>
      <rPr>
        <b/>
        <sz val="10"/>
        <rFont val="Calibri"/>
        <family val="2"/>
        <scheme val="minor"/>
      </rPr>
      <t xml:space="preserve"> muros de pedra</t>
    </r>
    <r>
      <rPr>
        <sz val="10"/>
        <rFont val="Calibri"/>
        <family val="2"/>
        <scheme val="minor"/>
      </rPr>
      <t xml:space="preserve"> seca existentes de modo a Reestabeler o Pé-direito, incluindo todos os trabalhos acessórios complementares, carga e transporte  para o vazadouro municipal.</t>
    </r>
  </si>
  <si>
    <t>CAP II - TERRAPLENAGEM / ESCAVAÇÃO</t>
  </si>
  <si>
    <t>Escavação de terreno de qualquer natureza para execução de fundação 0.80 de largura, incluindo remoção e transporte de material sobrante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</si>
  <si>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</si>
  <si>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CAP III - ESTRUTURAS DE BETÃO</t>
  </si>
  <si>
    <t>Fornecimento e colocação de betão de limpeza, incluindo todos os trabalhos e meios necessários para a sua boa execução.</t>
  </si>
  <si>
    <t>3.2.1</t>
  </si>
  <si>
    <t>Sapatas</t>
  </si>
  <si>
    <t>3.2.2</t>
  </si>
  <si>
    <t>Pilares</t>
  </si>
  <si>
    <t>3.2.3</t>
  </si>
  <si>
    <t>3.2.4</t>
  </si>
  <si>
    <t xml:space="preserve">CAP IV - ALVENARIA </t>
  </si>
  <si>
    <t>Execução de alvenarias em blocos (20x20x40 cm)  de betão, assentes com argamassa de cimento e areia ao traço 1:4, incluindo todos os trabalhos e acessórios complementares.</t>
  </si>
  <si>
    <t>Execução de alvenarias (Fileira bloco) em blocos (20x20x40 cm)  de betão na cobertura, assentes com argamassa de cimento e areia ao traço 1:4, incluindo todos os trabalhos e acessórios complementares, com as dimensões:</t>
  </si>
  <si>
    <t xml:space="preserve">CAP V - REVESTIMENTO </t>
  </si>
  <si>
    <t>Fornecimento e execução de CHAPISCO de paredes exteriores (Fachada Lateral e Posterior) com argamassa de cimento e areia ao traço de 1:4 incluíndo todos os trabalhos e meios necessários para sua boa execução.</t>
  </si>
  <si>
    <t>5.2</t>
  </si>
  <si>
    <t>5.3</t>
  </si>
  <si>
    <t>Pintura exterior (fachada frontal) com duas demãos de tintas de água Contrato incluindo barração.</t>
  </si>
  <si>
    <t>5.4</t>
  </si>
  <si>
    <t>Pintura exterior  (Fachada Lateral e Posterior) com duas demãos de tintas de gesso.</t>
  </si>
  <si>
    <t>CAP VI -INSTALAÇÃO SANITÁRIA (WC)</t>
  </si>
  <si>
    <t>Revestimentos</t>
  </si>
  <si>
    <t>6.1.1</t>
  </si>
  <si>
    <t>Betonilha de regularização com argamassa de cimento e areia com 0,03m de espessura, para revestir com mosaico, nas instalações sanitarias.</t>
  </si>
  <si>
    <t>6.1.2</t>
  </si>
  <si>
    <t>6.1.3</t>
  </si>
  <si>
    <t>6.2</t>
  </si>
  <si>
    <t>6.2.1</t>
  </si>
  <si>
    <t xml:space="preserve">un </t>
  </si>
  <si>
    <t>6.2.2</t>
  </si>
  <si>
    <t>6.2.3</t>
  </si>
  <si>
    <t>Fornecimento e assentamento de base de duche de pavimento, prever todos os acessórios de fixação, ligações a rede de água e esgoto, assim como o respectivo ensaio de modo a funcionar nas perfeitas condições.</t>
  </si>
  <si>
    <t>CAP VII - ELETRICIDADE</t>
  </si>
  <si>
    <t>Reposição e instalação de tubagens e fios em
lajes para pontos de iluminação e acesso a
rede, incluindo todos os trabalhos e acessórios complementares.</t>
  </si>
  <si>
    <t xml:space="preserve">CAP VIII - REDE DE ÁGUA </t>
  </si>
  <si>
    <t>Fornecimento e instalação de rede de água, incluindo os acessórios, ligações e todos os trabalhos acessórios necessários para um bom funcionamento</t>
  </si>
  <si>
    <t>CAP IX - REDE DE ESGOTO</t>
  </si>
  <si>
    <t xml:space="preserve">Fornecimento e instalação de rede de esgoto, incluindo tubagens PVC, abertura e tapamentos de roços, acessórios, ligações e todos os trabalhos acessórios necessários para o seu bom funcionamento. </t>
  </si>
  <si>
    <t>Execução da fossa séptica (incluindo Poço Absorvente) em betão ciclópico e tampa em betão armado incluindo todos os trabalhos acessórios e complementares.</t>
  </si>
  <si>
    <t>CAP X - COZINHA</t>
  </si>
  <si>
    <t>Fornecimento de bancada de cozinha (executada com tampa betão á vista e laterais em parede de 10 cm de espessura), lava loiças (1 cuba), incluindo os seus acessórios, conforme o projeto de arquitetura.</t>
  </si>
  <si>
    <t>10.2</t>
  </si>
  <si>
    <t xml:space="preserve">CAP XI - CAIXILHARIA (Reabilitação) </t>
  </si>
  <si>
    <t>Reparação de portas (0.83*2.1) do exterior, através da correção de desenquadramentos e substituição de ferragens deterioradas. Incluindo reposição de revestimentos e pinturas.</t>
  </si>
  <si>
    <t>11.2</t>
  </si>
  <si>
    <t>Reparação de janelas (0.85*0.85) do exterior, através da correção de desenquadramentos e substituição de ferragens deterioradas. Incluindo reposição de revestimentos e pinturas.</t>
  </si>
  <si>
    <t>12</t>
  </si>
  <si>
    <t>CAP XII - CARPINTARIA</t>
  </si>
  <si>
    <t>Fornecimento e colocação de Porta (0.68*2.0), incluindo todos os trabalhos acessórios e complementares.</t>
  </si>
  <si>
    <t>Fornecimento e colocação de Porta (0.8*2.0), incluindo todos os trabalhos acessórios e complementares.</t>
  </si>
  <si>
    <t>12.3</t>
  </si>
  <si>
    <t>Fornecimento e colocação de janela (0.6*0.6),  incluindo todos os trabalhos acessórios e complementares.</t>
  </si>
  <si>
    <t>ELISANGELA SUZANA VARELA MONTEIRO</t>
  </si>
  <si>
    <r>
      <t>Remoção de cobertura em</t>
    </r>
    <r>
      <rPr>
        <b/>
        <sz val="10"/>
        <rFont val="Calibri"/>
        <family val="2"/>
        <scheme val="minor"/>
      </rPr>
      <t xml:space="preserve"> chapa metalica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</si>
  <si>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r>
      <t>Demolição de</t>
    </r>
    <r>
      <rPr>
        <b/>
        <sz val="10"/>
        <rFont val="Calibri"/>
        <family val="2"/>
        <scheme val="minor"/>
      </rPr>
      <t xml:space="preserve"> parede de bloco</t>
    </r>
    <r>
      <rPr>
        <sz val="10"/>
        <rFont val="Calibri"/>
        <family val="2"/>
        <scheme val="minor"/>
      </rPr>
      <t xml:space="preserve"> existente, incluindo escoramento da estrutura existente, a remoção e transporte de entulho para o vazadouro municipal.</t>
    </r>
  </si>
  <si>
    <t>Pintura exterior (Fachada Frontal) com duas demãos de tintas de água Contrato incluindo barração.</t>
  </si>
  <si>
    <t xml:space="preserve">CAP V - ALVENARIA </t>
  </si>
  <si>
    <r>
      <t>Fornecimento e instalação de rede de água para</t>
    </r>
    <r>
      <rPr>
        <b/>
        <sz val="10"/>
        <rFont val="Calibri"/>
        <family val="2"/>
        <scheme val="minor"/>
      </rPr>
      <t xml:space="preserve"> Lava Loiça</t>
    </r>
    <r>
      <rPr>
        <sz val="10"/>
        <rFont val="Calibri"/>
        <family val="2"/>
        <scheme val="minor"/>
      </rPr>
      <t>, incluindo os acessórios, ligações e todos os trabalhos acessórios necessários para um bom funcionamento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</si>
  <si>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Loiça,</t>
    </r>
    <r>
      <rPr>
        <sz val="10"/>
        <rFont val="Calibri"/>
        <family val="2"/>
        <scheme val="minor"/>
      </rPr>
      <t xml:space="preserve"> incluindo tubagens PVC, abertura e tapamentos de roços, acessórios, ligações e todos os trabalhos acessórios necessários para o seu bom funcionamento. </t>
    </r>
  </si>
  <si>
    <t>Reparação de portas (0.8*2.1) do interior, através da correção de desenquadramentos e substituição de ferragens deterioradas. Incluindo reposição de revestimentos e pinturas.</t>
  </si>
  <si>
    <t>Reparação de portas (0.8*2.1) do exterior, através da correção de desenquadramentos e substituição de ferragens deterioradas. Incluindo reposição de revestimentos e pinturas.</t>
  </si>
  <si>
    <t>11.3</t>
  </si>
  <si>
    <t>Reparação de janela (1.03*1.05) do exterior, através da correção de desenquadramentos e substituição de ferragens deterioradas. Incluindo reposição de revestimentos e pinturas.</t>
  </si>
  <si>
    <t>11.4</t>
  </si>
  <si>
    <t>Reparação de janela (0.92*1.05) do exterior, através da correção de desenquadramentos e substituição de ferragens deterioradas. Incluindo reposição de revestimentos e pinturas.</t>
  </si>
  <si>
    <t>CAP XII - ENVOLVENTE</t>
  </si>
  <si>
    <t>Pavimento em betonilha. A ser aplicado na extensão das fachadas adjacentes á via pública com àrea equivalente a 1 metros vezes o comprimento da fachada.</t>
  </si>
  <si>
    <t>Fornecimento e plantação de árvore menor de 14 cm de perímetro de tronco a 1 m do solo, com meios manuais, em terreno arenoso, em cova de 60x60x60 cm.</t>
  </si>
  <si>
    <t>CAP XIII - CARPINTARIA</t>
  </si>
  <si>
    <t>13.1</t>
  </si>
  <si>
    <t>Fornecimento e colocação de Porta (0.8*2.0),  incluindo todos os trabalhos acessórios e complementares.</t>
  </si>
  <si>
    <t>13.2</t>
  </si>
  <si>
    <t>13.3</t>
  </si>
  <si>
    <t>Fornecimento e colocação de Porta (0.83*2.0),  incluindo todos os trabalhos acessórios e complementares.</t>
  </si>
  <si>
    <t>13.4</t>
  </si>
  <si>
    <t>Fornecimento e colocação de janela (0,6*0,6),  incluindo todos os trabalhos acessórios e complementares.</t>
  </si>
  <si>
    <t>13.5</t>
  </si>
  <si>
    <t>Fornecimento e colocação de janela (1*1),  incluindo todos os trabalhos acessórios e complementares.</t>
  </si>
  <si>
    <t>CAP XIV - CLARABOIA</t>
  </si>
  <si>
    <t>14.1</t>
  </si>
  <si>
    <t>DOMINGAS VAZ SILVA</t>
  </si>
  <si>
    <t>7.2</t>
  </si>
  <si>
    <t xml:space="preserve">Pre-instalação para contadores </t>
  </si>
  <si>
    <t>Fornecimento e colocação de janela (0.6*0.6), incluindo todos os trabalhos acessórios e complementares.</t>
  </si>
  <si>
    <t>Fornecimento e colocação de janela (0.74*1.1), incluindo todos os trabalhos acessórios e complementares.</t>
  </si>
  <si>
    <t>EDSON LIMA NEVES</t>
  </si>
  <si>
    <r>
      <t xml:space="preserve">Remoção de cobertura em </t>
    </r>
    <r>
      <rPr>
        <b/>
        <sz val="10"/>
        <rFont val="Calibri"/>
        <family val="2"/>
        <scheme val="minor"/>
      </rPr>
      <t xml:space="preserve">material precário </t>
    </r>
    <r>
      <rPr>
        <sz val="10"/>
        <rFont val="Calibri"/>
        <family val="2"/>
        <scheme val="minor"/>
      </rPr>
      <t>incluindo escoramento da estrutura existente, a remoção e transporte de entulho para o vazadouro municipal.</t>
    </r>
  </si>
  <si>
    <r>
      <t xml:space="preserve">Remoção de cobertura em </t>
    </r>
    <r>
      <rPr>
        <b/>
        <sz val="10"/>
        <rFont val="Calibri"/>
        <family val="2"/>
        <scheme val="minor"/>
      </rPr>
      <t xml:space="preserve">chapa metálica </t>
    </r>
    <r>
      <rPr>
        <sz val="10"/>
        <rFont val="Calibri"/>
        <family val="2"/>
        <scheme val="minor"/>
      </rPr>
      <t>incluindo escoramento da estrutura existente, a remoção e transporte de entulho para o vazadouro municipal.</t>
    </r>
  </si>
  <si>
    <r>
      <t xml:space="preserve">Demolição de laje em </t>
    </r>
    <r>
      <rPr>
        <b/>
        <sz val="10"/>
        <rFont val="Calibri"/>
        <family val="2"/>
        <scheme val="minor"/>
      </rPr>
      <t>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</si>
  <si>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t>1.4</t>
  </si>
  <si>
    <t>Fornecimento e colocação de Betão de limpeza, incluindo todos os trabalhos e meios necessários para a sua boa execução.</t>
  </si>
  <si>
    <r>
      <rPr>
        <b/>
        <sz val="10"/>
        <rFont val="Calibri"/>
        <family val="2"/>
        <scheme val="minor"/>
      </rPr>
      <t>Pintura exterior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</si>
  <si>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r>
      <rPr>
        <b/>
        <sz val="10"/>
        <rFont val="Calibri"/>
        <family val="2"/>
        <scheme val="minor"/>
      </rPr>
      <t>Pintura interior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</si>
  <si>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t>Execução de reboco sobre paredes interiores em blocos de betão, acabamento areado fino, prever reconstituição das ombreiras dos vãos remates e alhetas de separação com outros revestimentos.</t>
  </si>
  <si>
    <t>6.1.4</t>
  </si>
  <si>
    <t>Reposição e instalação de tubagens e fios em
lajes para pontos de iluminação e acesso a
rede, incluindo todos os trabalhos e acessórios complementares</t>
  </si>
  <si>
    <t>CAP VIII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</si>
  <si>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 e Sanita</t>
    </r>
    <r>
      <rPr>
        <sz val="10"/>
        <rFont val="Calibri"/>
        <family val="2"/>
        <scheme val="minor"/>
      </rPr>
      <t xml:space="preserve"> incluindo os acessórios, ligações e todos os trabalhos acessórios necessários para o seu bom funcionamento.</t>
    </r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</si>
  <si>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</si>
  <si>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Lavatório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</si>
  <si>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Sanita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</si>
  <si>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9.3</t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</si>
  <si>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</si>
  <si>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CAP XI - ENVOLVENTE</t>
  </si>
  <si>
    <t>CAP 0 - ESTALEIRO</t>
  </si>
  <si>
    <r>
      <t xml:space="preserve">Implantação das medidas previstas no Plano de Gestão Ambietal e Social (PGAS) patenteado e conforme PSS da obra, incluído a fixação da placa de obra. Tudo de modo a salvaguardar as condições de higiene, salubridade e segurança no trabalho, cumprindo o previsto nos regulamentos e normas de segurança no trabalho e nos Cadernos de Encargos. Sinalização de cada obra, com paneis , fitas sinalizadoras ou material similar de forma a garantir a máxima segurança na obra.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O estaleiro da obra é considerado o estaleiro central do Concorrente/Firma.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</si>
</sst>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​&quot;_-;\-* #,##0.00\ &quot;​&quot;_-;_-* &quot;-&quot;??\ &quot;​&quot;_-;_-@_-"/>
    <numFmt numFmtId="165" formatCode="_-* #,##0.00\ _€_-;\-* #,##0.00\ _€_-;_-* &quot;-&quot;??\ _€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  <charset val="1"/>
    </font>
    <font>
      <sz val="8"/>
      <name val="Arial Narrow"/>
      <family val="2"/>
    </font>
    <font>
      <b/>
      <sz val="10"/>
      <name val="Arial"/>
      <family val="2"/>
      <charset val="1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 "/>
    </font>
    <font>
      <sz val="8"/>
      <name val="Calibri "/>
    </font>
    <font>
      <sz val="10"/>
      <name val="Calibri "/>
    </font>
    <font>
      <sz val="11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36">
    <xf numFmtId="0" fontId="0" fillId="0" borderId="0" xfId="0"/>
    <xf numFmtId="0" fontId="3" fillId="0" borderId="32" xfId="0" applyFont="1" applyBorder="1" applyAlignment="1">
      <alignment vertical="center"/>
    </xf>
    <xf numFmtId="4" fontId="6" fillId="3" borderId="13" xfId="0" applyNumberFormat="1" applyFont="1" applyFill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0" fontId="7" fillId="0" borderId="34" xfId="0" applyFont="1" applyBorder="1"/>
    <xf numFmtId="49" fontId="7" fillId="0" borderId="6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/>
    <xf numFmtId="4" fontId="7" fillId="0" borderId="15" xfId="1" applyNumberFormat="1" applyFont="1" applyBorder="1" applyAlignment="1">
      <alignment horizontal="center" vertical="center"/>
    </xf>
    <xf numFmtId="4" fontId="7" fillId="0" borderId="33" xfId="1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0" borderId="0" xfId="0" applyFont="1"/>
    <xf numFmtId="164" fontId="9" fillId="0" borderId="0" xfId="0" applyNumberFormat="1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/>
    <xf numFmtId="164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36" xfId="0" applyFont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4" fontId="5" fillId="0" borderId="15" xfId="1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9" fontId="5" fillId="0" borderId="37" xfId="1" applyNumberFormat="1" applyFont="1" applyBorder="1" applyAlignment="1">
      <alignment vertical="center"/>
    </xf>
    <xf numFmtId="49" fontId="5" fillId="0" borderId="24" xfId="1" applyNumberFormat="1" applyFont="1" applyBorder="1" applyAlignment="1">
      <alignment vertical="center"/>
    </xf>
    <xf numFmtId="164" fontId="5" fillId="0" borderId="24" xfId="1" applyNumberFormat="1" applyFont="1" applyBorder="1" applyAlignment="1">
      <alignment vertical="center"/>
    </xf>
    <xf numFmtId="49" fontId="5" fillId="0" borderId="38" xfId="1" applyNumberFormat="1" applyFont="1" applyBorder="1" applyAlignment="1">
      <alignment vertical="center"/>
    </xf>
    <xf numFmtId="49" fontId="5" fillId="0" borderId="39" xfId="1" applyNumberFormat="1" applyFont="1" applyBorder="1" applyAlignment="1">
      <alignment horizontal="center" vertical="center"/>
    </xf>
    <xf numFmtId="0" fontId="5" fillId="0" borderId="40" xfId="1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9" fontId="5" fillId="0" borderId="42" xfId="1" applyNumberFormat="1" applyFont="1" applyBorder="1" applyAlignment="1">
      <alignment horizontal="center" vertical="center"/>
    </xf>
    <xf numFmtId="0" fontId="5" fillId="0" borderId="43" xfId="1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/>
    </xf>
    <xf numFmtId="4" fontId="5" fillId="0" borderId="43" xfId="1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/>
    <xf numFmtId="49" fontId="5" fillId="0" borderId="14" xfId="1" applyNumberFormat="1" applyFont="1" applyBorder="1" applyAlignment="1">
      <alignment horizontal="center" vertical="center"/>
    </xf>
    <xf numFmtId="49" fontId="5" fillId="0" borderId="42" xfId="1" applyNumberFormat="1" applyFont="1" applyBorder="1" applyAlignment="1">
      <alignment vertical="center"/>
    </xf>
    <xf numFmtId="49" fontId="4" fillId="0" borderId="43" xfId="1" applyNumberFormat="1" applyFont="1" applyBorder="1" applyAlignment="1">
      <alignment vertical="center"/>
    </xf>
    <xf numFmtId="164" fontId="4" fillId="0" borderId="43" xfId="1" applyNumberFormat="1" applyFont="1" applyBorder="1" applyAlignment="1">
      <alignment vertical="center"/>
    </xf>
    <xf numFmtId="49" fontId="4" fillId="0" borderId="44" xfId="1" applyNumberFormat="1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64" fontId="4" fillId="0" borderId="40" xfId="0" applyNumberFormat="1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42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left" vertical="center" wrapText="1"/>
    </xf>
    <xf numFmtId="0" fontId="5" fillId="0" borderId="44" xfId="0" applyFont="1" applyBorder="1"/>
    <xf numFmtId="49" fontId="5" fillId="0" borderId="39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left" vertical="center" wrapText="1"/>
    </xf>
    <xf numFmtId="0" fontId="5" fillId="0" borderId="41" xfId="0" applyFont="1" applyBorder="1"/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4" fontId="5" fillId="0" borderId="46" xfId="1" applyNumberFormat="1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0" fontId="5" fillId="0" borderId="47" xfId="0" applyFont="1" applyBorder="1"/>
    <xf numFmtId="0" fontId="11" fillId="0" borderId="43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center" vertical="center"/>
    </xf>
    <xf numFmtId="4" fontId="11" fillId="0" borderId="43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0" fontId="12" fillId="0" borderId="0" xfId="0" applyFont="1" applyAlignment="1">
      <alignment vertical="center"/>
    </xf>
    <xf numFmtId="164" fontId="10" fillId="0" borderId="0" xfId="0" applyNumberFormat="1" applyFont="1"/>
    <xf numFmtId="164" fontId="4" fillId="4" borderId="5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4" fontId="13" fillId="0" borderId="15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0" fontId="7" fillId="0" borderId="48" xfId="1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4" fontId="7" fillId="0" borderId="30" xfId="1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49" fontId="5" fillId="0" borderId="14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left" vertical="center" wrapText="1"/>
    </xf>
    <xf numFmtId="49" fontId="5" fillId="0" borderId="49" xfId="0" applyNumberFormat="1" applyFont="1" applyBorder="1" applyAlignment="1">
      <alignment horizontal="left" vertical="center" wrapText="1"/>
    </xf>
    <xf numFmtId="49" fontId="5" fillId="0" borderId="27" xfId="0" applyNumberFormat="1" applyFont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4" fontId="4" fillId="3" borderId="50" xfId="0" applyNumberFormat="1" applyFont="1" applyFill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4" fontId="5" fillId="0" borderId="33" xfId="1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5" fillId="0" borderId="34" xfId="0" applyFont="1" applyBorder="1"/>
    <xf numFmtId="49" fontId="5" fillId="0" borderId="15" xfId="0" applyNumberFormat="1" applyFont="1" applyBorder="1" applyAlignment="1">
      <alignment horizontal="center" vertical="center"/>
    </xf>
    <xf numFmtId="0" fontId="13" fillId="0" borderId="48" xfId="0" applyFont="1" applyBorder="1"/>
    <xf numFmtId="164" fontId="5" fillId="0" borderId="48" xfId="0" applyNumberFormat="1" applyFont="1" applyBorder="1" applyAlignment="1">
      <alignment horizontal="center" vertical="center"/>
    </xf>
    <xf numFmtId="0" fontId="5" fillId="0" borderId="51" xfId="0" applyFont="1" applyBorder="1"/>
    <xf numFmtId="49" fontId="4" fillId="2" borderId="9" xfId="0" applyNumberFormat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vertical="center" wrapText="1"/>
    </xf>
    <xf numFmtId="0" fontId="4" fillId="2" borderId="53" xfId="1" applyFont="1" applyFill="1" applyBorder="1" applyAlignment="1">
      <alignment vertical="center" wrapText="1"/>
    </xf>
    <xf numFmtId="0" fontId="4" fillId="2" borderId="54" xfId="1" applyFont="1" applyFill="1" applyBorder="1" applyAlignment="1">
      <alignment vertical="center" wrapText="1"/>
    </xf>
    <xf numFmtId="49" fontId="5" fillId="0" borderId="2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47" xfId="0" applyNumberFormat="1" applyFont="1" applyBorder="1" applyAlignment="1">
      <alignment horizontal="left" vertical="center" wrapText="1"/>
    </xf>
    <xf numFmtId="49" fontId="5" fillId="0" borderId="48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/>
    </xf>
    <xf numFmtId="4" fontId="5" fillId="0" borderId="48" xfId="1" applyNumberFormat="1" applyFont="1" applyBorder="1" applyAlignment="1">
      <alignment horizontal="center" vertical="center"/>
    </xf>
    <xf numFmtId="49" fontId="4" fillId="4" borderId="17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4" fontId="4" fillId="0" borderId="29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8" xfId="0" applyFont="1" applyBorder="1"/>
    <xf numFmtId="49" fontId="5" fillId="0" borderId="46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164" fontId="18" fillId="0" borderId="0" xfId="0" applyNumberFormat="1" applyFont="1"/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0" fontId="6" fillId="0" borderId="0" xfId="0" applyFont="1"/>
    <xf numFmtId="164" fontId="6" fillId="0" borderId="0" xfId="0" applyNumberFormat="1" applyFont="1" applyAlignment="1">
      <alignment vertical="center"/>
    </xf>
    <xf numFmtId="164" fontId="6" fillId="0" borderId="0" xfId="0" applyNumberFormat="1" applyFont="1"/>
    <xf numFmtId="164" fontId="6" fillId="4" borderId="5" xfId="0" applyNumberFormat="1" applyFont="1" applyFill="1" applyBorder="1" applyAlignment="1">
      <alignment horizontal="right"/>
    </xf>
    <xf numFmtId="0" fontId="6" fillId="4" borderId="5" xfId="0" applyFont="1" applyFill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49" fontId="7" fillId="0" borderId="14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16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/>
    <xf numFmtId="49" fontId="6" fillId="0" borderId="15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49" fontId="6" fillId="0" borderId="16" xfId="1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left" vertical="center" wrapText="1"/>
    </xf>
    <xf numFmtId="49" fontId="7" fillId="0" borderId="49" xfId="0" applyNumberFormat="1" applyFont="1" applyBorder="1" applyAlignment="1">
      <alignment horizontal="left" vertical="center" wrapText="1"/>
    </xf>
    <xf numFmtId="0" fontId="7" fillId="0" borderId="29" xfId="0" applyFont="1" applyBorder="1"/>
    <xf numFmtId="49" fontId="7" fillId="0" borderId="28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vertical="center"/>
    </xf>
    <xf numFmtId="0" fontId="7" fillId="0" borderId="27" xfId="0" applyFont="1" applyBorder="1" applyAlignment="1">
      <alignment horizontal="left" vertical="top" wrapText="1"/>
    </xf>
    <xf numFmtId="4" fontId="7" fillId="0" borderId="30" xfId="0" applyNumberFormat="1" applyFont="1" applyBorder="1" applyAlignment="1">
      <alignment vertical="center"/>
    </xf>
    <xf numFmtId="0" fontId="7" fillId="0" borderId="55" xfId="0" applyFont="1" applyBorder="1"/>
    <xf numFmtId="49" fontId="7" fillId="5" borderId="32" xfId="0" applyNumberFormat="1" applyFont="1" applyFill="1" applyBorder="1" applyAlignment="1">
      <alignment horizontal="center" vertical="center"/>
    </xf>
    <xf numFmtId="49" fontId="7" fillId="5" borderId="49" xfId="0" applyNumberFormat="1" applyFont="1" applyFill="1" applyBorder="1" applyAlignment="1">
      <alignment horizontal="left" vertical="center" wrapText="1"/>
    </xf>
    <xf numFmtId="4" fontId="7" fillId="5" borderId="15" xfId="1" applyNumberFormat="1" applyFont="1" applyFill="1" applyBorder="1" applyAlignment="1">
      <alignment horizontal="center" vertical="center"/>
    </xf>
    <xf numFmtId="164" fontId="7" fillId="5" borderId="15" xfId="0" applyNumberFormat="1" applyFont="1" applyFill="1" applyBorder="1" applyAlignment="1">
      <alignment horizontal="center" vertical="center"/>
    </xf>
    <xf numFmtId="0" fontId="7" fillId="5" borderId="16" xfId="0" applyFont="1" applyFill="1" applyBorder="1"/>
    <xf numFmtId="49" fontId="7" fillId="5" borderId="56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4" fontId="7" fillId="5" borderId="0" xfId="1" applyNumberFormat="1" applyFont="1" applyFill="1" applyAlignment="1">
      <alignment horizontal="center" vertical="center"/>
    </xf>
    <xf numFmtId="164" fontId="7" fillId="5" borderId="0" xfId="0" applyNumberFormat="1" applyFont="1" applyFill="1" applyAlignment="1">
      <alignment horizontal="center" vertical="center"/>
    </xf>
    <xf numFmtId="164" fontId="7" fillId="5" borderId="57" xfId="0" applyNumberFormat="1" applyFont="1" applyFill="1" applyBorder="1" applyAlignment="1">
      <alignment horizontal="center" vertical="center"/>
    </xf>
    <xf numFmtId="0" fontId="7" fillId="5" borderId="0" xfId="0" applyFont="1" applyFill="1"/>
    <xf numFmtId="49" fontId="6" fillId="4" borderId="17" xfId="0" applyNumberFormat="1" applyFont="1" applyFill="1" applyBorder="1" applyAlignment="1">
      <alignment horizontal="center" vertical="center"/>
    </xf>
    <xf numFmtId="49" fontId="6" fillId="4" borderId="22" xfId="0" applyNumberFormat="1" applyFont="1" applyFill="1" applyBorder="1" applyAlignment="1">
      <alignment horizontal="center" vertical="center"/>
    </xf>
    <xf numFmtId="49" fontId="7" fillId="0" borderId="28" xfId="1" applyNumberFormat="1" applyFont="1" applyBorder="1" applyAlignment="1">
      <alignment vertical="center"/>
    </xf>
    <xf numFmtId="49" fontId="6" fillId="0" borderId="27" xfId="1" applyNumberFormat="1" applyFont="1" applyBorder="1" applyAlignment="1">
      <alignment vertical="center"/>
    </xf>
    <xf numFmtId="49" fontId="6" fillId="0" borderId="30" xfId="1" applyNumberFormat="1" applyFont="1" applyBorder="1" applyAlignment="1">
      <alignment vertical="center"/>
    </xf>
    <xf numFmtId="164" fontId="6" fillId="0" borderId="30" xfId="1" applyNumberFormat="1" applyFont="1" applyBorder="1" applyAlignment="1">
      <alignment vertical="center"/>
    </xf>
    <xf numFmtId="164" fontId="6" fillId="0" borderId="31" xfId="1" applyNumberFormat="1" applyFont="1" applyBorder="1" applyAlignment="1">
      <alignment vertical="center"/>
    </xf>
    <xf numFmtId="49" fontId="6" fillId="0" borderId="29" xfId="1" applyNumberFormat="1" applyFont="1" applyBorder="1" applyAlignment="1">
      <alignment vertical="center"/>
    </xf>
    <xf numFmtId="164" fontId="7" fillId="0" borderId="15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4" fontId="5" fillId="0" borderId="30" xfId="1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0" fontId="5" fillId="0" borderId="29" xfId="0" applyFont="1" applyBorder="1"/>
    <xf numFmtId="49" fontId="5" fillId="0" borderId="58" xfId="0" applyNumberFormat="1" applyFont="1" applyBorder="1" applyAlignment="1">
      <alignment horizontal="left" vertical="center" wrapText="1"/>
    </xf>
    <xf numFmtId="0" fontId="0" fillId="0" borderId="28" xfId="0" applyBorder="1"/>
    <xf numFmtId="49" fontId="5" fillId="0" borderId="27" xfId="0" applyNumberFormat="1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49" fontId="5" fillId="5" borderId="15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Border="1" applyAlignment="1">
      <alignment vertical="center" wrapText="1"/>
    </xf>
    <xf numFmtId="49" fontId="4" fillId="0" borderId="16" xfId="0" applyNumberFormat="1" applyFont="1" applyBorder="1" applyAlignment="1">
      <alignment vertical="center" wrapText="1"/>
    </xf>
    <xf numFmtId="0" fontId="5" fillId="5" borderId="15" xfId="0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0" fontId="5" fillId="5" borderId="16" xfId="0" applyFont="1" applyFill="1" applyBorder="1"/>
    <xf numFmtId="0" fontId="0" fillId="0" borderId="32" xfId="0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2" xfId="0" applyFont="1" applyBorder="1"/>
    <xf numFmtId="0" fontId="23" fillId="0" borderId="0" xfId="0" applyFont="1"/>
    <xf numFmtId="16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164" fontId="23" fillId="0" borderId="0" xfId="0" applyNumberFormat="1" applyFont="1"/>
    <xf numFmtId="164" fontId="23" fillId="0" borderId="5" xfId="0" applyNumberFormat="1" applyFont="1" applyBorder="1" applyAlignment="1">
      <alignment horizontal="right"/>
    </xf>
    <xf numFmtId="0" fontId="23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3" fillId="0" borderId="36" xfId="0" applyFont="1" applyBorder="1" applyAlignment="1">
      <alignment vertical="center"/>
    </xf>
    <xf numFmtId="0" fontId="25" fillId="0" borderId="15" xfId="0" applyFont="1" applyBorder="1" applyAlignment="1">
      <alignment horizontal="center" vertical="center"/>
    </xf>
    <xf numFmtId="4" fontId="25" fillId="0" borderId="15" xfId="1" applyNumberFormat="1" applyFont="1" applyBorder="1" applyAlignment="1">
      <alignment horizontal="center" vertical="center"/>
    </xf>
    <xf numFmtId="164" fontId="25" fillId="0" borderId="15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49" fontId="23" fillId="0" borderId="0" xfId="1" applyNumberFormat="1" applyFont="1" applyAlignment="1">
      <alignment horizontal="left" vertical="center"/>
    </xf>
    <xf numFmtId="49" fontId="25" fillId="0" borderId="37" xfId="1" applyNumberFormat="1" applyFont="1" applyBorder="1" applyAlignment="1">
      <alignment vertical="center"/>
    </xf>
    <xf numFmtId="49" fontId="25" fillId="0" borderId="24" xfId="1" applyNumberFormat="1" applyFont="1" applyBorder="1" applyAlignment="1">
      <alignment vertical="center"/>
    </xf>
    <xf numFmtId="164" fontId="25" fillId="0" borderId="24" xfId="1" applyNumberFormat="1" applyFont="1" applyBorder="1" applyAlignment="1">
      <alignment vertical="center"/>
    </xf>
    <xf numFmtId="49" fontId="25" fillId="0" borderId="38" xfId="1" applyNumberFormat="1" applyFont="1" applyBorder="1" applyAlignment="1">
      <alignment vertical="center"/>
    </xf>
    <xf numFmtId="49" fontId="23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5" xfId="1" applyFont="1" applyBorder="1" applyAlignment="1">
      <alignment horizontal="left" vertical="center" wrapText="1"/>
    </xf>
    <xf numFmtId="4" fontId="23" fillId="0" borderId="5" xfId="0" applyNumberFormat="1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164" fontId="23" fillId="0" borderId="5" xfId="0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4" borderId="19" xfId="0" applyNumberFormat="1" applyFont="1" applyFill="1" applyBorder="1" applyAlignment="1">
      <alignment horizontal="center" vertical="center"/>
    </xf>
    <xf numFmtId="4" fontId="4" fillId="4" borderId="20" xfId="0" applyNumberFormat="1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4" fontId="4" fillId="4" borderId="23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25" xfId="0" applyNumberFormat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4" fontId="6" fillId="4" borderId="18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3" fontId="6" fillId="4" borderId="21" xfId="0" applyNumberFormat="1" applyFont="1" applyFill="1" applyBorder="1" applyAlignment="1">
      <alignment horizontal="center" vertical="center"/>
    </xf>
    <xf numFmtId="3" fontId="6" fillId="4" borderId="26" xfId="0" applyNumberFormat="1" applyFont="1" applyFill="1" applyBorder="1" applyAlignment="1">
      <alignment horizontal="center" vertical="center"/>
    </xf>
    <xf numFmtId="4" fontId="6" fillId="4" borderId="23" xfId="0" applyNumberFormat="1" applyFont="1" applyFill="1" applyBorder="1" applyAlignment="1">
      <alignment horizontal="center" vertical="center"/>
    </xf>
    <xf numFmtId="4" fontId="6" fillId="4" borderId="24" xfId="0" applyNumberFormat="1" applyFont="1" applyFill="1" applyBorder="1" applyAlignment="1">
      <alignment horizontal="center" vertical="center"/>
    </xf>
    <xf numFmtId="4" fontId="6" fillId="4" borderId="2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2" borderId="52" xfId="1" applyFont="1" applyFill="1" applyBorder="1" applyAlignment="1">
      <alignment horizontal="left" vertical="center" wrapText="1"/>
    </xf>
    <xf numFmtId="0" fontId="4" fillId="2" borderId="53" xfId="1" applyFont="1" applyFill="1" applyBorder="1" applyAlignment="1">
      <alignment horizontal="left" vertical="center" wrapText="1"/>
    </xf>
    <xf numFmtId="0" fontId="4" fillId="2" borderId="54" xfId="1" applyFont="1" applyFill="1" applyBorder="1" applyAlignment="1">
      <alignment horizontal="left" vertical="center" wrapText="1"/>
    </xf>
    <xf numFmtId="0" fontId="4" fillId="2" borderId="52" xfId="1" applyFont="1" applyFill="1" applyBorder="1" applyAlignment="1">
      <alignment vertical="center" wrapText="1"/>
    </xf>
    <xf numFmtId="0" fontId="4" fillId="2" borderId="53" xfId="1" applyFont="1" applyFill="1" applyBorder="1" applyAlignment="1">
      <alignment vertical="center" wrapText="1"/>
    </xf>
    <xf numFmtId="0" fontId="4" fillId="2" borderId="54" xfId="1" applyFont="1" applyFill="1" applyBorder="1" applyAlignment="1">
      <alignment vertical="center" wrapText="1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130" zoomScaleNormal="130" workbookViewId="0">
      <selection activeCell="G13" sqref="G13"/>
    </sheetView>
  </sheetViews>
  <sheetFormatPr defaultRowHeight="14.4"/>
  <cols>
    <col min="2" max="2" width="37.88671875" customWidth="1"/>
  </cols>
  <sheetData>
    <row r="1" spans="1:2">
      <c r="A1" s="246" t="s">
        <v>0</v>
      </c>
      <c r="B1" s="247" t="s">
        <v>1</v>
      </c>
    </row>
    <row r="2" spans="1:2">
      <c r="A2" s="245">
        <v>1</v>
      </c>
      <c r="B2" s="1" t="s">
        <v>2</v>
      </c>
    </row>
    <row r="3" spans="1:2">
      <c r="A3" s="245">
        <v>2</v>
      </c>
      <c r="B3" s="1" t="s">
        <v>3</v>
      </c>
    </row>
    <row r="4" spans="1:2">
      <c r="A4" s="245">
        <v>3</v>
      </c>
      <c r="B4" s="1" t="s">
        <v>4</v>
      </c>
    </row>
    <row r="5" spans="1:2">
      <c r="A5" s="245">
        <v>4</v>
      </c>
      <c r="B5" s="1" t="s">
        <v>5</v>
      </c>
    </row>
    <row r="6" spans="1:2">
      <c r="A6" s="245">
        <v>5</v>
      </c>
      <c r="B6" s="1" t="s">
        <v>6</v>
      </c>
    </row>
    <row r="7" spans="1:2">
      <c r="A7" s="245">
        <v>6</v>
      </c>
      <c r="B7" s="1" t="s">
        <v>7</v>
      </c>
    </row>
    <row r="8" spans="1:2">
      <c r="A8" s="245">
        <v>7</v>
      </c>
      <c r="B8" s="1" t="s">
        <v>8</v>
      </c>
    </row>
  </sheetData>
  <sortState ref="A2:B13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85" zoomScaleNormal="85" zoomScaleSheetLayoutView="85" workbookViewId="0">
      <selection activeCell="F22" sqref="F22"/>
    </sheetView>
  </sheetViews>
  <sheetFormatPr defaultRowHeight="14.4"/>
  <cols>
    <col min="1" max="1" width="7.109375" bestFit="1" customWidth="1"/>
    <col min="2" max="2" width="108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248" t="s">
        <v>10</v>
      </c>
      <c r="B1" s="274" t="s">
        <v>11</v>
      </c>
      <c r="C1" s="274"/>
      <c r="D1" s="274"/>
      <c r="E1" s="274"/>
      <c r="F1" s="249"/>
      <c r="G1" s="248"/>
    </row>
    <row r="2" spans="1:7">
      <c r="A2" s="248" t="s">
        <v>12</v>
      </c>
      <c r="B2" s="250"/>
      <c r="C2" s="248"/>
      <c r="D2" s="248"/>
      <c r="E2" s="251"/>
      <c r="F2" s="275"/>
      <c r="G2" s="275"/>
    </row>
    <row r="3" spans="1:7">
      <c r="A3" s="248"/>
      <c r="B3" s="274"/>
      <c r="C3" s="274"/>
      <c r="D3" s="274"/>
      <c r="E3" s="274"/>
      <c r="F3" s="275" t="s">
        <v>15</v>
      </c>
      <c r="G3" s="275"/>
    </row>
    <row r="4" spans="1:7" ht="15" thickBot="1">
      <c r="A4" s="248"/>
      <c r="B4" s="250"/>
      <c r="C4" s="248"/>
      <c r="D4" s="248"/>
      <c r="E4" s="252"/>
      <c r="F4" s="252"/>
      <c r="G4" s="248"/>
    </row>
    <row r="5" spans="1:7" ht="15" thickBot="1">
      <c r="A5" s="270" t="s">
        <v>16</v>
      </c>
      <c r="B5" s="270" t="s">
        <v>17</v>
      </c>
      <c r="C5" s="270" t="s">
        <v>18</v>
      </c>
      <c r="D5" s="272" t="s">
        <v>19</v>
      </c>
      <c r="E5" s="276" t="s">
        <v>20</v>
      </c>
      <c r="F5" s="270" t="s">
        <v>21</v>
      </c>
      <c r="G5" s="270"/>
    </row>
    <row r="6" spans="1:7" ht="15" thickBot="1">
      <c r="A6" s="270"/>
      <c r="B6" s="270" t="s">
        <v>22</v>
      </c>
      <c r="C6" s="270" t="s">
        <v>23</v>
      </c>
      <c r="D6" s="272" t="s">
        <v>24</v>
      </c>
      <c r="E6" s="276"/>
      <c r="F6" s="253" t="s">
        <v>25</v>
      </c>
      <c r="G6" s="254" t="s">
        <v>26</v>
      </c>
    </row>
    <row r="7" spans="1:7" ht="15" thickBot="1">
      <c r="A7" s="270"/>
      <c r="B7" s="270"/>
      <c r="C7" s="270"/>
      <c r="D7" s="270"/>
      <c r="E7" s="270"/>
      <c r="F7" s="270"/>
      <c r="G7" s="270"/>
    </row>
    <row r="8" spans="1:7" ht="15" thickBot="1">
      <c r="A8" s="255">
        <v>0</v>
      </c>
      <c r="B8" s="271" t="s">
        <v>223</v>
      </c>
      <c r="C8" s="271"/>
      <c r="D8" s="271"/>
      <c r="E8" s="271"/>
      <c r="F8" s="271"/>
      <c r="G8" s="256">
        <f>SUM(F10:F10)</f>
        <v>0</v>
      </c>
    </row>
    <row r="9" spans="1:7">
      <c r="A9" s="257"/>
      <c r="B9" s="258"/>
      <c r="C9" s="250"/>
      <c r="D9" s="250"/>
      <c r="E9" s="249"/>
      <c r="F9" s="249"/>
      <c r="G9" s="259"/>
    </row>
    <row r="10" spans="1:7" ht="82.2" customHeight="1">
      <c r="A10" s="264"/>
      <c r="B10" s="30" t="s">
        <v>224</v>
      </c>
      <c r="C10" s="260" t="s">
        <v>85</v>
      </c>
      <c r="D10" s="261">
        <v>1</v>
      </c>
      <c r="E10" s="262"/>
      <c r="F10" s="262">
        <f t="shared" ref="F10" si="0">D10*E10</f>
        <v>0</v>
      </c>
      <c r="G10" s="263"/>
    </row>
    <row r="11" spans="1:7" ht="15" thickBot="1">
      <c r="A11" s="265"/>
      <c r="B11" s="266"/>
      <c r="C11" s="266"/>
      <c r="D11" s="266"/>
      <c r="E11" s="267"/>
      <c r="F11" s="267"/>
      <c r="G11" s="268"/>
    </row>
    <row r="12" spans="1:7" ht="15" thickBot="1">
      <c r="A12" s="269"/>
      <c r="B12" s="272"/>
      <c r="C12" s="272"/>
      <c r="D12" s="272"/>
      <c r="E12" s="272"/>
      <c r="F12" s="272"/>
      <c r="G12" s="272">
        <f>G8</f>
        <v>0</v>
      </c>
    </row>
    <row r="13" spans="1:7" ht="15" thickBot="1">
      <c r="A13" s="269"/>
      <c r="B13" s="273" t="s">
        <v>86</v>
      </c>
      <c r="C13" s="273"/>
      <c r="D13" s="273"/>
      <c r="E13" s="273"/>
      <c r="F13" s="273"/>
      <c r="G13" s="270"/>
    </row>
    <row r="16" spans="1:7" ht="15" customHeight="1"/>
  </sheetData>
  <mergeCells count="15"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A7:G7"/>
    <mergeCell ref="B8:F8"/>
    <mergeCell ref="B12:F12"/>
    <mergeCell ref="G12:G13"/>
    <mergeCell ref="B13:F13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65" sqref="E65"/>
    </sheetView>
  </sheetViews>
  <sheetFormatPr defaultRowHeight="14.4"/>
  <cols>
    <col min="1" max="1" width="7.109375" bestFit="1" customWidth="1"/>
    <col min="2" max="2" width="37.6640625" bestFit="1" customWidth="1"/>
    <col min="3" max="3" width="3.7773437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" customWidth="1"/>
  </cols>
  <sheetData>
    <row r="1" spans="1:7">
      <c r="A1" s="16" t="s">
        <v>10</v>
      </c>
      <c r="B1" s="281" t="s">
        <v>11</v>
      </c>
      <c r="C1" s="281"/>
      <c r="D1" s="281"/>
      <c r="E1" s="281"/>
      <c r="F1" s="17"/>
      <c r="G1" s="18"/>
    </row>
    <row r="2" spans="1:7">
      <c r="A2" s="16" t="s">
        <v>12</v>
      </c>
      <c r="B2" s="19"/>
      <c r="C2" s="18"/>
      <c r="D2" s="18"/>
      <c r="E2" s="20"/>
      <c r="F2" s="282"/>
      <c r="G2" s="282"/>
    </row>
    <row r="3" spans="1:7">
      <c r="A3" s="16" t="s">
        <v>13</v>
      </c>
      <c r="B3" s="281" t="s">
        <v>204</v>
      </c>
      <c r="C3" s="281"/>
      <c r="D3" s="281"/>
      <c r="E3" s="281"/>
      <c r="F3" s="282" t="s">
        <v>15</v>
      </c>
      <c r="G3" s="282"/>
    </row>
    <row r="4" spans="1:7" ht="15" thickBot="1">
      <c r="A4" s="18"/>
      <c r="B4" s="19"/>
      <c r="C4" s="18"/>
      <c r="D4" s="18"/>
      <c r="E4" s="21"/>
      <c r="F4" s="21"/>
      <c r="G4" s="18"/>
    </row>
    <row r="5" spans="1:7" ht="15" thickBot="1">
      <c r="A5" s="279" t="s">
        <v>16</v>
      </c>
      <c r="B5" s="279" t="s">
        <v>17</v>
      </c>
      <c r="C5" s="279" t="s">
        <v>18</v>
      </c>
      <c r="D5" s="278" t="s">
        <v>19</v>
      </c>
      <c r="E5" s="283"/>
      <c r="F5" s="279" t="s">
        <v>21</v>
      </c>
      <c r="G5" s="279"/>
    </row>
    <row r="6" spans="1:7" ht="15" thickBot="1">
      <c r="A6" s="279"/>
      <c r="B6" s="279" t="s">
        <v>22</v>
      </c>
      <c r="C6" s="279" t="s">
        <v>23</v>
      </c>
      <c r="D6" s="278" t="s">
        <v>24</v>
      </c>
      <c r="E6" s="283"/>
      <c r="F6" s="22" t="s">
        <v>25</v>
      </c>
      <c r="G6" s="23" t="s">
        <v>26</v>
      </c>
    </row>
    <row r="7" spans="1:7" ht="15" thickBot="1">
      <c r="A7" s="279"/>
      <c r="B7" s="279"/>
      <c r="C7" s="279"/>
      <c r="D7" s="279"/>
      <c r="E7" s="279"/>
      <c r="F7" s="279"/>
      <c r="G7" s="279"/>
    </row>
    <row r="8" spans="1:7" ht="15" thickBot="1">
      <c r="A8" s="24">
        <v>1</v>
      </c>
      <c r="B8" s="277" t="s">
        <v>27</v>
      </c>
      <c r="C8" s="277"/>
      <c r="D8" s="277"/>
      <c r="E8" s="277"/>
      <c r="F8" s="277"/>
      <c r="G8" s="25">
        <f>F10+F11+F12+F13</f>
        <v>0</v>
      </c>
    </row>
    <row r="9" spans="1:7">
      <c r="A9" s="26"/>
      <c r="B9" s="19"/>
      <c r="C9" s="19"/>
      <c r="D9" s="19"/>
      <c r="E9" s="27"/>
      <c r="F9" s="27"/>
      <c r="G9" s="28"/>
    </row>
    <row r="10" spans="1:7" ht="55.2">
      <c r="A10" s="29" t="s">
        <v>28</v>
      </c>
      <c r="B10" s="30" t="s">
        <v>205</v>
      </c>
      <c r="C10" s="31" t="s">
        <v>114</v>
      </c>
      <c r="D10" s="32">
        <f>(12.05)</f>
        <v>12.05</v>
      </c>
      <c r="E10" s="33"/>
      <c r="F10" s="33">
        <f t="shared" ref="F10:F11" si="0">D10*E10</f>
        <v>0</v>
      </c>
      <c r="G10" s="34"/>
    </row>
    <row r="11" spans="1:7" ht="55.2">
      <c r="A11" s="29" t="s">
        <v>88</v>
      </c>
      <c r="B11" s="30" t="s">
        <v>206</v>
      </c>
      <c r="C11" s="31" t="s">
        <v>114</v>
      </c>
      <c r="D11" s="32">
        <f>(12.2)</f>
        <v>12.2</v>
      </c>
      <c r="E11" s="33"/>
      <c r="F11" s="33">
        <f t="shared" si="0"/>
        <v>0</v>
      </c>
      <c r="G11" s="34"/>
    </row>
    <row r="12" spans="1:7" ht="55.2">
      <c r="A12" s="29" t="s">
        <v>116</v>
      </c>
      <c r="B12" s="30" t="s">
        <v>207</v>
      </c>
      <c r="C12" s="31" t="s">
        <v>120</v>
      </c>
      <c r="D12" s="32">
        <f>0.15*(43.4+11.18)</f>
        <v>8.1869999999999994</v>
      </c>
      <c r="E12" s="33"/>
      <c r="F12" s="33">
        <f>D12*E12</f>
        <v>0</v>
      </c>
      <c r="G12" s="34"/>
    </row>
    <row r="13" spans="1:7" ht="55.2">
      <c r="A13" s="29" t="s">
        <v>208</v>
      </c>
      <c r="B13" s="30" t="s">
        <v>173</v>
      </c>
      <c r="C13" s="31" t="s">
        <v>114</v>
      </c>
      <c r="D13" s="32">
        <f>(2.82*1.8+3*0.2)</f>
        <v>5.6760000000000002</v>
      </c>
      <c r="E13" s="33"/>
      <c r="F13" s="33">
        <f>D13*E13</f>
        <v>0</v>
      </c>
      <c r="G13" s="34"/>
    </row>
    <row r="14" spans="1:7" ht="15" thickBot="1">
      <c r="A14" s="35"/>
      <c r="B14" s="36"/>
      <c r="C14" s="36"/>
      <c r="D14" s="36"/>
      <c r="E14" s="37"/>
      <c r="F14" s="37"/>
      <c r="G14" s="38"/>
    </row>
    <row r="15" spans="1:7" ht="15" thickBot="1">
      <c r="A15" s="24">
        <v>2</v>
      </c>
      <c r="B15" s="277" t="s">
        <v>118</v>
      </c>
      <c r="C15" s="277"/>
      <c r="D15" s="277"/>
      <c r="E15" s="277"/>
      <c r="F15" s="277"/>
      <c r="G15" s="25">
        <f>F17</f>
        <v>0</v>
      </c>
    </row>
    <row r="16" spans="1:7">
      <c r="A16" s="39"/>
      <c r="B16" s="40"/>
      <c r="C16" s="41"/>
      <c r="D16" s="42"/>
      <c r="E16" s="43"/>
      <c r="F16" s="43"/>
      <c r="G16" s="44"/>
    </row>
    <row r="17" spans="1:7" ht="55.2">
      <c r="A17" s="45" t="s">
        <v>32</v>
      </c>
      <c r="B17" s="46" t="s">
        <v>119</v>
      </c>
      <c r="C17" s="47" t="s">
        <v>120</v>
      </c>
      <c r="D17" s="48">
        <f>0.8*0.8*0.4*13</f>
        <v>3.3280000000000007</v>
      </c>
      <c r="E17" s="49"/>
      <c r="F17" s="49">
        <f>D17*E17</f>
        <v>0</v>
      </c>
      <c r="G17" s="50"/>
    </row>
    <row r="18" spans="1:7" ht="15" thickBot="1">
      <c r="A18" s="51"/>
      <c r="B18" s="52"/>
      <c r="C18" s="53"/>
      <c r="D18" s="54"/>
      <c r="E18" s="55"/>
      <c r="F18" s="55"/>
      <c r="G18" s="56"/>
    </row>
    <row r="19" spans="1:7" ht="15" thickBot="1">
      <c r="A19" s="24">
        <v>3</v>
      </c>
      <c r="B19" s="277" t="s">
        <v>121</v>
      </c>
      <c r="C19" s="277"/>
      <c r="D19" s="277"/>
      <c r="E19" s="277"/>
      <c r="F19" s="277"/>
      <c r="G19" s="25">
        <f>F21+F23+F24+F25+F26</f>
        <v>0</v>
      </c>
    </row>
    <row r="20" spans="1:7">
      <c r="A20" s="39"/>
      <c r="B20" s="40"/>
      <c r="C20" s="41"/>
      <c r="D20" s="42"/>
      <c r="E20" s="43"/>
      <c r="F20" s="43"/>
      <c r="G20" s="44"/>
    </row>
    <row r="21" spans="1:7" ht="41.4">
      <c r="A21" s="57" t="s">
        <v>40</v>
      </c>
      <c r="B21" s="58" t="s">
        <v>209</v>
      </c>
      <c r="C21" s="47" t="s">
        <v>114</v>
      </c>
      <c r="D21" s="47">
        <f>0.6*0.6*12</f>
        <v>4.32</v>
      </c>
      <c r="E21" s="59"/>
      <c r="F21" s="60">
        <f>D21*E21</f>
        <v>0</v>
      </c>
      <c r="G21" s="61"/>
    </row>
    <row r="22" spans="1:7" ht="96.6">
      <c r="A22" s="62" t="s">
        <v>90</v>
      </c>
      <c r="B22" s="63" t="s">
        <v>33</v>
      </c>
      <c r="C22" s="64"/>
      <c r="D22" s="32"/>
      <c r="E22" s="33"/>
      <c r="F22" s="33"/>
      <c r="G22" s="65"/>
    </row>
    <row r="23" spans="1:7" ht="15">
      <c r="A23" s="66" t="s">
        <v>123</v>
      </c>
      <c r="B23" s="63" t="s">
        <v>124</v>
      </c>
      <c r="C23" s="31" t="s">
        <v>120</v>
      </c>
      <c r="D23" s="32">
        <f>0.5*0.5*0.4*12</f>
        <v>1.2000000000000002</v>
      </c>
      <c r="E23" s="33"/>
      <c r="F23" s="33">
        <f>D23*E23</f>
        <v>0</v>
      </c>
      <c r="G23" s="65"/>
    </row>
    <row r="24" spans="1:7" ht="15">
      <c r="A24" s="66" t="s">
        <v>125</v>
      </c>
      <c r="B24" s="63" t="s">
        <v>126</v>
      </c>
      <c r="C24" s="31" t="s">
        <v>120</v>
      </c>
      <c r="D24" s="32">
        <f>0.2*0.2*3.2*12</f>
        <v>1.5360000000000005</v>
      </c>
      <c r="E24" s="33"/>
      <c r="F24" s="33">
        <f>D24*E24</f>
        <v>0</v>
      </c>
      <c r="G24" s="65"/>
    </row>
    <row r="25" spans="1:7" ht="15">
      <c r="A25" s="66" t="s">
        <v>127</v>
      </c>
      <c r="B25" s="63" t="s">
        <v>35</v>
      </c>
      <c r="C25" s="31" t="s">
        <v>120</v>
      </c>
      <c r="D25" s="32">
        <f>0.2*0.4*(2.4+1.6+1.6+2.4+2.4+2.4+3.92+3.92+3.12+3.12+2.87+2.87+3.3+3.3)</f>
        <v>3.1376000000000004</v>
      </c>
      <c r="E25" s="33"/>
      <c r="F25" s="33"/>
      <c r="G25" s="65"/>
    </row>
    <row r="26" spans="1:7" ht="15">
      <c r="A26" s="66" t="s">
        <v>128</v>
      </c>
      <c r="B26" s="63" t="s">
        <v>38</v>
      </c>
      <c r="C26" s="31" t="s">
        <v>120</v>
      </c>
      <c r="D26" s="32">
        <f>0.15*(9.41+5+6.89+7.92)</f>
        <v>4.383</v>
      </c>
      <c r="E26" s="33"/>
      <c r="F26" s="33">
        <f>D26*E26</f>
        <v>0</v>
      </c>
      <c r="G26" s="65"/>
    </row>
    <row r="27" spans="1:7" ht="15" thickBot="1">
      <c r="A27" s="67"/>
      <c r="B27" s="68"/>
      <c r="C27" s="68"/>
      <c r="D27" s="68"/>
      <c r="E27" s="69"/>
      <c r="F27" s="69"/>
      <c r="G27" s="70"/>
    </row>
    <row r="28" spans="1:7" ht="15" thickBot="1">
      <c r="A28" s="24">
        <v>4</v>
      </c>
      <c r="B28" s="277" t="s">
        <v>129</v>
      </c>
      <c r="C28" s="277"/>
      <c r="D28" s="277"/>
      <c r="E28" s="277"/>
      <c r="F28" s="277"/>
      <c r="G28" s="25">
        <f>F30</f>
        <v>0</v>
      </c>
    </row>
    <row r="29" spans="1:7">
      <c r="A29" s="71"/>
      <c r="B29" s="72"/>
      <c r="C29" s="72"/>
      <c r="D29" s="72"/>
      <c r="E29" s="73"/>
      <c r="F29" s="73"/>
      <c r="G29" s="74"/>
    </row>
    <row r="30" spans="1:7" ht="69">
      <c r="A30" s="75" t="s">
        <v>43</v>
      </c>
      <c r="B30" s="76" t="s">
        <v>41</v>
      </c>
      <c r="C30" s="31" t="s">
        <v>114</v>
      </c>
      <c r="D30" s="32">
        <f>(0.78*2.1)</f>
        <v>1.6380000000000001</v>
      </c>
      <c r="E30" s="33"/>
      <c r="F30" s="33">
        <f>D30*E30</f>
        <v>0</v>
      </c>
      <c r="G30" s="65"/>
    </row>
    <row r="31" spans="1:7" ht="15" thickBot="1">
      <c r="A31" s="77"/>
      <c r="B31" s="78"/>
      <c r="C31" s="53"/>
      <c r="D31" s="54"/>
      <c r="E31" s="55"/>
      <c r="F31" s="55"/>
      <c r="G31" s="79"/>
    </row>
    <row r="32" spans="1:7" ht="15" thickBot="1">
      <c r="A32" s="24">
        <v>5</v>
      </c>
      <c r="B32" s="277" t="s">
        <v>132</v>
      </c>
      <c r="C32" s="277"/>
      <c r="D32" s="277"/>
      <c r="E32" s="277"/>
      <c r="F32" s="277"/>
      <c r="G32" s="25">
        <f>SUM(F33:F37)</f>
        <v>0</v>
      </c>
    </row>
    <row r="33" spans="1:7">
      <c r="A33" s="80"/>
      <c r="B33" s="81"/>
      <c r="C33" s="41"/>
      <c r="D33" s="42"/>
      <c r="E33" s="43"/>
      <c r="F33" s="43"/>
      <c r="G33" s="82"/>
    </row>
    <row r="34" spans="1:7" ht="27.6">
      <c r="A34" s="66" t="s">
        <v>93</v>
      </c>
      <c r="B34" s="239" t="s">
        <v>210</v>
      </c>
      <c r="C34" s="31" t="s">
        <v>114</v>
      </c>
      <c r="D34" s="32">
        <f>(3.1*(9.34))-(0.83*2.1+1*1+0.98*2.1)</f>
        <v>24.152999999999999</v>
      </c>
      <c r="E34" s="33"/>
      <c r="F34" s="33">
        <f>D34*E34</f>
        <v>0</v>
      </c>
      <c r="G34" s="65"/>
    </row>
    <row r="35" spans="1:7" ht="27.6">
      <c r="A35" s="66" t="s">
        <v>134</v>
      </c>
      <c r="B35" s="239" t="s">
        <v>211</v>
      </c>
      <c r="C35" s="31" t="s">
        <v>114</v>
      </c>
      <c r="D35" s="32">
        <f>(3.1*(3.72+3.72+2.6+2.6))-(1*1+0.75*2.1+0.78*2.1)-(3.1*(2.8+2.8+2.67+2.67))-(0.78*2.1+0.72*2.1+0.78*2.1)+(3.1*(2.67+2.67+1.1+1.1))-(0.72*2.1+1.1*2.1+0.78*2.1+0.82*2.1)+(3.1*(2.67+2.67+3.8+3.8))-(0.78*2.1+0.78*2.1)+(3.1*(3.7+3.7+2.8+2.8))-(0.78*2.1+0.72*2.1)+(3.1*(1.1+1.1+3.7+3.7))-(0.72*2.1+0.82*2.1+0.78*2.1+0.83*2.1)+(3.1*(3.8+3.8+3.7+3.7))-(0.78*2.1+0.78*2.1+1*1+0.98*2.1)</f>
        <v>149.76</v>
      </c>
      <c r="E35" s="33"/>
      <c r="F35" s="33">
        <f>D35*E35</f>
        <v>0</v>
      </c>
      <c r="G35" s="65"/>
    </row>
    <row r="36" spans="1:7" ht="27.6">
      <c r="A36" s="66" t="s">
        <v>135</v>
      </c>
      <c r="B36" s="76" t="s">
        <v>48</v>
      </c>
      <c r="C36" s="31" t="s">
        <v>114</v>
      </c>
      <c r="D36" s="32">
        <f>(9.63+5+7.4+10.2)</f>
        <v>32.230000000000004</v>
      </c>
      <c r="E36" s="33"/>
      <c r="F36" s="33">
        <f>D36*E36</f>
        <v>0</v>
      </c>
      <c r="G36" s="65"/>
    </row>
    <row r="37" spans="1:7" ht="15" thickBot="1">
      <c r="A37" s="77"/>
      <c r="B37" s="78"/>
      <c r="C37" s="53"/>
      <c r="D37" s="54"/>
      <c r="E37" s="55"/>
      <c r="F37" s="55"/>
      <c r="G37" s="79"/>
    </row>
    <row r="38" spans="1:7" ht="15" thickBot="1">
      <c r="A38" s="24">
        <v>6</v>
      </c>
      <c r="B38" s="277" t="s">
        <v>139</v>
      </c>
      <c r="C38" s="277"/>
      <c r="D38" s="277"/>
      <c r="E38" s="277"/>
      <c r="F38" s="277"/>
      <c r="G38" s="25">
        <f>SUM(F39:F47)</f>
        <v>0</v>
      </c>
    </row>
    <row r="39" spans="1:7">
      <c r="A39" s="80"/>
      <c r="B39" s="81"/>
      <c r="C39" s="83"/>
      <c r="D39" s="42"/>
      <c r="E39" s="43"/>
      <c r="F39" s="43"/>
      <c r="G39" s="82"/>
    </row>
    <row r="40" spans="1:7">
      <c r="A40" s="75" t="s">
        <v>66</v>
      </c>
      <c r="B40" s="240" t="s">
        <v>140</v>
      </c>
      <c r="C40" s="240"/>
      <c r="D40" s="240"/>
      <c r="E40" s="240"/>
      <c r="F40" s="240"/>
      <c r="G40" s="241"/>
    </row>
    <row r="41" spans="1:7" ht="69">
      <c r="A41" s="75" t="s">
        <v>141</v>
      </c>
      <c r="B41" s="76" t="s">
        <v>212</v>
      </c>
      <c r="C41" s="31" t="s">
        <v>114</v>
      </c>
      <c r="D41" s="32">
        <f>(0.2*2.1+0.2*2.1)</f>
        <v>0.84000000000000008</v>
      </c>
      <c r="E41" s="33"/>
      <c r="F41" s="33">
        <f>D41*E41</f>
        <v>0</v>
      </c>
      <c r="G41" s="65"/>
    </row>
    <row r="42" spans="1:7" ht="27.6">
      <c r="A42" s="75" t="s">
        <v>143</v>
      </c>
      <c r="B42" s="239" t="s">
        <v>211</v>
      </c>
      <c r="C42" s="242" t="s">
        <v>114</v>
      </c>
      <c r="D42" s="32">
        <f>(1*(3.52+3.52+1.8+1.8))</f>
        <v>10.64</v>
      </c>
      <c r="E42" s="33"/>
      <c r="F42" s="243">
        <f>D42*E42</f>
        <v>0</v>
      </c>
      <c r="G42" s="244"/>
    </row>
    <row r="43" spans="1:7" ht="55.2">
      <c r="A43" s="75" t="s">
        <v>144</v>
      </c>
      <c r="B43" s="76" t="s">
        <v>62</v>
      </c>
      <c r="C43" s="31" t="s">
        <v>114</v>
      </c>
      <c r="D43" s="32">
        <f>(0.2*2.1+0.2*2.1)</f>
        <v>0.84000000000000008</v>
      </c>
      <c r="E43" s="33"/>
      <c r="F43" s="33">
        <f t="shared" ref="F43:F44" si="1">D43*E43</f>
        <v>0</v>
      </c>
      <c r="G43" s="65"/>
    </row>
    <row r="44" spans="1:7" ht="55.2">
      <c r="A44" s="75" t="s">
        <v>213</v>
      </c>
      <c r="B44" s="76" t="s">
        <v>64</v>
      </c>
      <c r="C44" s="31" t="s">
        <v>114</v>
      </c>
      <c r="D44" s="32">
        <f>(0.2*1.8)</f>
        <v>0.36000000000000004</v>
      </c>
      <c r="E44" s="33"/>
      <c r="F44" s="33">
        <f t="shared" si="1"/>
        <v>0</v>
      </c>
      <c r="G44" s="65"/>
    </row>
    <row r="45" spans="1:7">
      <c r="A45" s="75" t="s">
        <v>145</v>
      </c>
      <c r="B45" s="240" t="s">
        <v>53</v>
      </c>
      <c r="C45" s="240"/>
      <c r="D45" s="240"/>
      <c r="E45" s="240"/>
      <c r="F45" s="240"/>
      <c r="G45" s="241"/>
    </row>
    <row r="46" spans="1:7" ht="69">
      <c r="A46" s="75" t="s">
        <v>146</v>
      </c>
      <c r="B46" s="76" t="s">
        <v>55</v>
      </c>
      <c r="C46" s="31" t="s">
        <v>147</v>
      </c>
      <c r="D46" s="32">
        <v>1</v>
      </c>
      <c r="E46" s="33"/>
      <c r="F46" s="33">
        <f>D46*E46</f>
        <v>0</v>
      </c>
      <c r="G46" s="65"/>
    </row>
    <row r="47" spans="1:7" ht="15" thickBot="1">
      <c r="A47" s="77"/>
      <c r="B47" s="78"/>
      <c r="C47" s="84"/>
      <c r="D47" s="54"/>
      <c r="E47" s="55"/>
      <c r="F47" s="55"/>
      <c r="G47" s="79"/>
    </row>
    <row r="48" spans="1:7" ht="15" thickBot="1">
      <c r="A48" s="24">
        <v>7</v>
      </c>
      <c r="B48" s="277" t="s">
        <v>151</v>
      </c>
      <c r="C48" s="277"/>
      <c r="D48" s="277"/>
      <c r="E48" s="277"/>
      <c r="F48" s="277"/>
      <c r="G48" s="25">
        <f>F50</f>
        <v>0</v>
      </c>
    </row>
    <row r="49" spans="1:7">
      <c r="A49" s="80"/>
      <c r="B49" s="81"/>
      <c r="C49" s="83"/>
      <c r="D49" s="42"/>
      <c r="E49" s="43"/>
      <c r="F49" s="43"/>
      <c r="G49" s="82"/>
    </row>
    <row r="50" spans="1:7" ht="55.2">
      <c r="A50" s="85" t="s">
        <v>70</v>
      </c>
      <c r="B50" s="86" t="s">
        <v>214</v>
      </c>
      <c r="C50" s="87" t="s">
        <v>68</v>
      </c>
      <c r="D50" s="88">
        <v>1</v>
      </c>
      <c r="E50" s="89"/>
      <c r="F50" s="89">
        <f>D50*E50</f>
        <v>0</v>
      </c>
      <c r="G50" s="90"/>
    </row>
    <row r="51" spans="1:7" ht="15" thickBot="1">
      <c r="A51" s="77"/>
      <c r="B51" s="78"/>
      <c r="C51" s="84"/>
      <c r="D51" s="54"/>
      <c r="E51" s="55"/>
      <c r="F51" s="55"/>
      <c r="G51" s="79"/>
    </row>
    <row r="52" spans="1:7" ht="15" thickBot="1">
      <c r="A52" s="24">
        <v>8</v>
      </c>
      <c r="B52" s="277" t="s">
        <v>215</v>
      </c>
      <c r="C52" s="277"/>
      <c r="D52" s="277"/>
      <c r="E52" s="277"/>
      <c r="F52" s="277"/>
      <c r="G52" s="25">
        <f>F54+F55</f>
        <v>0</v>
      </c>
    </row>
    <row r="53" spans="1:7">
      <c r="A53" s="80"/>
      <c r="B53" s="81"/>
      <c r="C53" s="41"/>
      <c r="D53" s="42"/>
      <c r="E53" s="43"/>
      <c r="F53" s="43"/>
      <c r="G53" s="82"/>
    </row>
    <row r="54" spans="1:7" ht="69">
      <c r="A54" s="75" t="s">
        <v>73</v>
      </c>
      <c r="B54" s="76" t="s">
        <v>216</v>
      </c>
      <c r="C54" s="31" t="s">
        <v>68</v>
      </c>
      <c r="D54" s="32">
        <v>1</v>
      </c>
      <c r="E54" s="33"/>
      <c r="F54" s="33">
        <f>D54*E54</f>
        <v>0</v>
      </c>
      <c r="G54" s="65"/>
    </row>
    <row r="55" spans="1:7" ht="55.2">
      <c r="A55" s="75" t="s">
        <v>106</v>
      </c>
      <c r="B55" s="76" t="s">
        <v>217</v>
      </c>
      <c r="C55" s="31" t="s">
        <v>68</v>
      </c>
      <c r="D55" s="32">
        <v>1</v>
      </c>
      <c r="E55" s="33"/>
      <c r="F55" s="33">
        <f>D55*E55</f>
        <v>0</v>
      </c>
      <c r="G55" s="65"/>
    </row>
    <row r="56" spans="1:7" ht="15" thickBot="1">
      <c r="A56" s="77"/>
      <c r="B56" s="91"/>
      <c r="C56" s="92"/>
      <c r="D56" s="93"/>
      <c r="E56" s="55"/>
      <c r="F56" s="55"/>
      <c r="G56" s="79"/>
    </row>
    <row r="57" spans="1:7" ht="15" thickBot="1">
      <c r="A57" s="24">
        <v>9</v>
      </c>
      <c r="B57" s="277" t="s">
        <v>155</v>
      </c>
      <c r="C57" s="277"/>
      <c r="D57" s="277"/>
      <c r="E57" s="277"/>
      <c r="F57" s="277"/>
      <c r="G57" s="25">
        <f>F59+F60+F61</f>
        <v>0</v>
      </c>
    </row>
    <row r="58" spans="1:7">
      <c r="A58" s="80"/>
      <c r="B58" s="81"/>
      <c r="C58" s="41"/>
      <c r="D58" s="42"/>
      <c r="E58" s="43"/>
      <c r="F58" s="43"/>
      <c r="G58" s="82"/>
    </row>
    <row r="59" spans="1:7" ht="69">
      <c r="A59" s="75" t="s">
        <v>76</v>
      </c>
      <c r="B59" s="76" t="s">
        <v>218</v>
      </c>
      <c r="C59" s="31" t="s">
        <v>68</v>
      </c>
      <c r="D59" s="32">
        <v>1</v>
      </c>
      <c r="E59" s="33"/>
      <c r="F59" s="33">
        <f>D59*E59</f>
        <v>0</v>
      </c>
      <c r="G59" s="65"/>
    </row>
    <row r="60" spans="1:7" ht="69">
      <c r="A60" s="75" t="s">
        <v>78</v>
      </c>
      <c r="B60" s="76" t="s">
        <v>219</v>
      </c>
      <c r="C60" s="31" t="s">
        <v>68</v>
      </c>
      <c r="D60" s="32">
        <v>1</v>
      </c>
      <c r="E60" s="33"/>
      <c r="F60" s="33">
        <f>D60*E60</f>
        <v>0</v>
      </c>
      <c r="G60" s="65"/>
    </row>
    <row r="61" spans="1:7" ht="69">
      <c r="A61" s="75" t="s">
        <v>220</v>
      </c>
      <c r="B61" s="76" t="s">
        <v>221</v>
      </c>
      <c r="C61" s="31" t="s">
        <v>68</v>
      </c>
      <c r="D61" s="32">
        <v>1</v>
      </c>
      <c r="E61" s="33"/>
      <c r="F61" s="33">
        <f>D61*E61</f>
        <v>0</v>
      </c>
      <c r="G61" s="65"/>
    </row>
    <row r="62" spans="1:7" ht="15" thickBot="1">
      <c r="A62" s="77"/>
      <c r="B62" s="91"/>
      <c r="C62" s="92"/>
      <c r="D62" s="93"/>
      <c r="E62" s="55"/>
      <c r="F62" s="55"/>
      <c r="G62" s="79"/>
    </row>
    <row r="63" spans="1:7" ht="15" thickBot="1">
      <c r="A63" s="24">
        <v>10</v>
      </c>
      <c r="B63" s="277" t="s">
        <v>158</v>
      </c>
      <c r="C63" s="277"/>
      <c r="D63" s="277"/>
      <c r="E63" s="277"/>
      <c r="F63" s="277"/>
      <c r="G63" s="25">
        <f>F65+F66</f>
        <v>0</v>
      </c>
    </row>
    <row r="64" spans="1:7">
      <c r="A64" s="80"/>
      <c r="B64" s="81"/>
      <c r="C64" s="41"/>
      <c r="D64" s="42"/>
      <c r="E64" s="43"/>
      <c r="F64" s="43"/>
      <c r="G64" s="82"/>
    </row>
    <row r="65" spans="1:7" ht="69">
      <c r="A65" s="85" t="s">
        <v>80</v>
      </c>
      <c r="B65" s="86" t="s">
        <v>159</v>
      </c>
      <c r="C65" s="87" t="s">
        <v>68</v>
      </c>
      <c r="D65" s="88">
        <v>1</v>
      </c>
      <c r="E65" s="89"/>
      <c r="F65" s="89">
        <f>D65*E65</f>
        <v>0</v>
      </c>
      <c r="G65" s="90"/>
    </row>
    <row r="66" spans="1:7" ht="55.2">
      <c r="A66" s="85" t="s">
        <v>160</v>
      </c>
      <c r="B66" s="76" t="s">
        <v>62</v>
      </c>
      <c r="C66" s="31" t="s">
        <v>114</v>
      </c>
      <c r="D66" s="32">
        <f>(0.6*1.8)</f>
        <v>1.08</v>
      </c>
      <c r="E66" s="33"/>
      <c r="F66" s="33">
        <f t="shared" ref="F66" si="2">D66*E66</f>
        <v>0</v>
      </c>
      <c r="G66" s="65"/>
    </row>
    <row r="67" spans="1:7" ht="15" thickBot="1">
      <c r="A67" s="77"/>
      <c r="B67" s="78"/>
      <c r="C67" s="53"/>
      <c r="D67" s="54"/>
      <c r="E67" s="55"/>
      <c r="F67" s="55"/>
      <c r="G67" s="79"/>
    </row>
    <row r="68" spans="1:7" ht="15" thickBot="1">
      <c r="A68" s="24">
        <v>11</v>
      </c>
      <c r="B68" s="277" t="s">
        <v>222</v>
      </c>
      <c r="C68" s="277"/>
      <c r="D68" s="277"/>
      <c r="E68" s="277"/>
      <c r="F68" s="277"/>
      <c r="G68" s="25">
        <f>F70</f>
        <v>0</v>
      </c>
    </row>
    <row r="69" spans="1:7">
      <c r="A69" s="80"/>
      <c r="B69" s="81"/>
      <c r="C69" s="41"/>
      <c r="D69" s="42"/>
      <c r="E69" s="43"/>
      <c r="F69" s="43"/>
      <c r="G69" s="82"/>
    </row>
    <row r="70" spans="1:7" ht="55.2">
      <c r="A70" s="75" t="s">
        <v>83</v>
      </c>
      <c r="B70" s="76" t="s">
        <v>186</v>
      </c>
      <c r="C70" s="31" t="s">
        <v>85</v>
      </c>
      <c r="D70" s="32">
        <v>1</v>
      </c>
      <c r="E70" s="33"/>
      <c r="F70" s="33">
        <f>D70*E70</f>
        <v>0</v>
      </c>
      <c r="G70" s="65"/>
    </row>
    <row r="71" spans="1:7" ht="15" thickBot="1">
      <c r="A71" s="77"/>
      <c r="B71" s="78"/>
      <c r="C71" s="53"/>
      <c r="D71" s="54"/>
      <c r="E71" s="55"/>
      <c r="F71" s="55"/>
      <c r="G71" s="79"/>
    </row>
    <row r="72" spans="1:7" ht="15" thickBot="1">
      <c r="A72" s="94"/>
      <c r="B72" s="278"/>
      <c r="C72" s="278"/>
      <c r="D72" s="278"/>
      <c r="E72" s="278"/>
      <c r="F72" s="278"/>
      <c r="G72" s="278">
        <f>SUM(G8:G71)</f>
        <v>0</v>
      </c>
    </row>
    <row r="73" spans="1:7" ht="15" customHeight="1" thickBot="1">
      <c r="A73" s="94"/>
      <c r="B73" s="280" t="s">
        <v>86</v>
      </c>
      <c r="C73" s="280"/>
      <c r="D73" s="280"/>
      <c r="E73" s="280"/>
      <c r="F73" s="280"/>
      <c r="G73" s="279"/>
    </row>
  </sheetData>
  <mergeCells count="25">
    <mergeCell ref="A5:A6"/>
    <mergeCell ref="B5:B6"/>
    <mergeCell ref="C5:C6"/>
    <mergeCell ref="D5:D6"/>
    <mergeCell ref="E5:E6"/>
    <mergeCell ref="A7:G7"/>
    <mergeCell ref="B8:F8"/>
    <mergeCell ref="B15:F15"/>
    <mergeCell ref="B19:F19"/>
    <mergeCell ref="B28:F28"/>
    <mergeCell ref="B1:E1"/>
    <mergeCell ref="F2:G2"/>
    <mergeCell ref="B3:E3"/>
    <mergeCell ref="F3:G3"/>
    <mergeCell ref="F5:G5"/>
    <mergeCell ref="B38:F38"/>
    <mergeCell ref="B48:F48"/>
    <mergeCell ref="B52:F52"/>
    <mergeCell ref="B63:F63"/>
    <mergeCell ref="B32:F32"/>
    <mergeCell ref="B68:F68"/>
    <mergeCell ref="B72:F72"/>
    <mergeCell ref="G72:G73"/>
    <mergeCell ref="B73:F73"/>
    <mergeCell ref="B57:F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2"/>
  <sheetViews>
    <sheetView workbookViewId="0">
      <selection activeCell="B68" sqref="B68"/>
    </sheetView>
  </sheetViews>
  <sheetFormatPr defaultRowHeight="14.4"/>
  <cols>
    <col min="2" max="2" width="39.33203125" customWidth="1"/>
    <col min="3" max="3" width="7.44140625" customWidth="1"/>
    <col min="4" max="4" width="7.5546875" customWidth="1"/>
    <col min="5" max="5" width="10" customWidth="1"/>
    <col min="6" max="6" width="12.5546875" customWidth="1"/>
    <col min="7" max="7" width="15.33203125" customWidth="1"/>
  </cols>
  <sheetData>
    <row r="1" spans="1:7">
      <c r="A1" s="95"/>
      <c r="E1" s="96"/>
      <c r="F1" s="96"/>
    </row>
    <row r="2" spans="1:7">
      <c r="A2" s="19" t="s">
        <v>9</v>
      </c>
      <c r="B2" s="19"/>
      <c r="C2" s="97"/>
      <c r="D2" s="97"/>
      <c r="E2" s="20"/>
      <c r="F2" s="98"/>
      <c r="G2" s="97"/>
    </row>
    <row r="3" spans="1:7">
      <c r="A3" s="16" t="s">
        <v>10</v>
      </c>
      <c r="B3" s="19" t="s">
        <v>11</v>
      </c>
      <c r="C3" s="18"/>
      <c r="E3" s="27"/>
      <c r="F3" s="17"/>
      <c r="G3" s="18"/>
    </row>
    <row r="4" spans="1:7">
      <c r="A4" s="16" t="s">
        <v>12</v>
      </c>
      <c r="B4" s="19"/>
      <c r="C4" s="18"/>
      <c r="D4" s="18"/>
      <c r="E4" s="20"/>
      <c r="F4" s="282"/>
      <c r="G4" s="282"/>
    </row>
    <row r="5" spans="1:7">
      <c r="A5" s="16" t="s">
        <v>13</v>
      </c>
      <c r="B5" s="19" t="s">
        <v>112</v>
      </c>
      <c r="C5" s="18"/>
      <c r="D5" s="18"/>
      <c r="E5" s="20"/>
      <c r="F5" s="282" t="s">
        <v>15</v>
      </c>
      <c r="G5" s="282"/>
    </row>
    <row r="6" spans="1:7" ht="15" thickBot="1">
      <c r="A6" s="18"/>
      <c r="B6" s="19"/>
      <c r="C6" s="18"/>
      <c r="D6" s="18"/>
      <c r="E6" s="21"/>
      <c r="F6" s="21"/>
      <c r="G6" s="18"/>
    </row>
    <row r="7" spans="1:7" ht="15" thickBot="1">
      <c r="A7" s="290" t="s">
        <v>16</v>
      </c>
      <c r="B7" s="290" t="s">
        <v>17</v>
      </c>
      <c r="C7" s="290" t="s">
        <v>18</v>
      </c>
      <c r="D7" s="292" t="s">
        <v>19</v>
      </c>
      <c r="E7" s="294" t="s">
        <v>20</v>
      </c>
      <c r="F7" s="296" t="s">
        <v>21</v>
      </c>
      <c r="G7" s="297"/>
    </row>
    <row r="8" spans="1:7" ht="15" thickBot="1">
      <c r="A8" s="291"/>
      <c r="B8" s="291" t="s">
        <v>22</v>
      </c>
      <c r="C8" s="291" t="s">
        <v>23</v>
      </c>
      <c r="D8" s="293" t="s">
        <v>24</v>
      </c>
      <c r="E8" s="295"/>
      <c r="F8" s="99" t="s">
        <v>25</v>
      </c>
      <c r="G8" s="100" t="s">
        <v>26</v>
      </c>
    </row>
    <row r="9" spans="1:7">
      <c r="A9" s="284"/>
      <c r="B9" s="285"/>
      <c r="C9" s="285"/>
      <c r="D9" s="285"/>
      <c r="E9" s="285"/>
      <c r="F9" s="285"/>
      <c r="G9" s="286"/>
    </row>
    <row r="10" spans="1:7">
      <c r="A10" s="101">
        <v>1</v>
      </c>
      <c r="B10" s="287" t="s">
        <v>27</v>
      </c>
      <c r="C10" s="288"/>
      <c r="D10" s="288"/>
      <c r="E10" s="288"/>
      <c r="F10" s="289"/>
      <c r="G10" s="102">
        <f>+SUM(F12:F14)</f>
        <v>0</v>
      </c>
    </row>
    <row r="11" spans="1:7">
      <c r="A11" s="103"/>
      <c r="B11" s="104"/>
      <c r="C11" s="104"/>
      <c r="D11" s="104"/>
      <c r="E11" s="105"/>
      <c r="F11" s="105"/>
      <c r="G11" s="106"/>
    </row>
    <row r="12" spans="1:7" ht="63" customHeight="1">
      <c r="A12" s="66" t="s">
        <v>28</v>
      </c>
      <c r="B12" s="30" t="s">
        <v>113</v>
      </c>
      <c r="C12" s="31" t="s">
        <v>114</v>
      </c>
      <c r="D12" s="32">
        <f>(31.87)</f>
        <v>31.87</v>
      </c>
      <c r="E12" s="33"/>
      <c r="F12" s="33">
        <f>+D12*E12</f>
        <v>0</v>
      </c>
      <c r="G12" s="34"/>
    </row>
    <row r="13" spans="1:7" ht="58.5" customHeight="1">
      <c r="A13" s="66" t="s">
        <v>88</v>
      </c>
      <c r="B13" s="30" t="s">
        <v>115</v>
      </c>
      <c r="C13" s="31" t="s">
        <v>114</v>
      </c>
      <c r="D13" s="32">
        <f>(3.46)</f>
        <v>3.46</v>
      </c>
      <c r="E13" s="33"/>
      <c r="F13" s="33">
        <f>D13*E13</f>
        <v>0</v>
      </c>
      <c r="G13" s="34"/>
    </row>
    <row r="14" spans="1:7" ht="74.25" customHeight="1">
      <c r="A14" s="66" t="s">
        <v>116</v>
      </c>
      <c r="B14" s="30" t="s">
        <v>117</v>
      </c>
      <c r="C14" s="31" t="s">
        <v>114</v>
      </c>
      <c r="D14" s="107">
        <f>((3.93*0.74)/2)*2</f>
        <v>2.9081999999999999</v>
      </c>
      <c r="E14" s="33"/>
      <c r="F14" s="33">
        <f>D14*E14</f>
        <v>0</v>
      </c>
      <c r="G14" s="34"/>
    </row>
    <row r="15" spans="1:7" ht="15.75" customHeight="1">
      <c r="A15" s="66"/>
      <c r="B15" s="30"/>
      <c r="C15" s="31"/>
      <c r="D15" s="13"/>
      <c r="E15" s="33"/>
      <c r="F15" s="33"/>
      <c r="G15" s="34"/>
    </row>
    <row r="16" spans="1:7" ht="15.75" customHeight="1">
      <c r="A16" s="101">
        <v>2</v>
      </c>
      <c r="B16" s="287" t="s">
        <v>118</v>
      </c>
      <c r="C16" s="288"/>
      <c r="D16" s="288"/>
      <c r="E16" s="288"/>
      <c r="F16" s="289"/>
      <c r="G16" s="102">
        <f>SUM(F18)</f>
        <v>0</v>
      </c>
    </row>
    <row r="17" spans="1:7" ht="15.75" customHeight="1">
      <c r="A17" s="66"/>
      <c r="B17" s="30"/>
      <c r="C17" s="31"/>
      <c r="D17" s="32"/>
      <c r="E17" s="33"/>
      <c r="F17" s="33"/>
      <c r="G17" s="34"/>
    </row>
    <row r="18" spans="1:7" ht="62.25" customHeight="1">
      <c r="A18" s="66" t="s">
        <v>32</v>
      </c>
      <c r="B18" s="30" t="s">
        <v>119</v>
      </c>
      <c r="C18" s="31" t="s">
        <v>120</v>
      </c>
      <c r="D18" s="32">
        <f>0.8*0.8*0.4*6</f>
        <v>1.5360000000000005</v>
      </c>
      <c r="E18" s="33"/>
      <c r="F18" s="33">
        <f>D18*E18</f>
        <v>0</v>
      </c>
      <c r="G18" s="34"/>
    </row>
    <row r="19" spans="1:7" ht="18" customHeight="1">
      <c r="A19" s="108"/>
      <c r="B19" s="109"/>
      <c r="C19" s="110"/>
      <c r="D19" s="111"/>
      <c r="E19" s="112"/>
      <c r="F19" s="113"/>
      <c r="G19" s="114"/>
    </row>
    <row r="20" spans="1:7">
      <c r="A20" s="101">
        <v>3</v>
      </c>
      <c r="B20" s="287" t="s">
        <v>121</v>
      </c>
      <c r="C20" s="288"/>
      <c r="D20" s="288"/>
      <c r="E20" s="288"/>
      <c r="F20" s="289"/>
      <c r="G20" s="102">
        <f>SUM(F22:F27)</f>
        <v>0</v>
      </c>
    </row>
    <row r="21" spans="1:7" ht="13.5" customHeight="1">
      <c r="A21" s="103"/>
      <c r="B21" s="104"/>
      <c r="C21" s="104"/>
      <c r="D21" s="104"/>
      <c r="E21" s="105"/>
      <c r="F21" s="105"/>
      <c r="G21" s="106"/>
    </row>
    <row r="22" spans="1:7" ht="50.25" customHeight="1">
      <c r="A22" s="62" t="s">
        <v>40</v>
      </c>
      <c r="B22" s="63" t="s">
        <v>122</v>
      </c>
      <c r="C22" s="31" t="s">
        <v>114</v>
      </c>
      <c r="D22" s="31">
        <f>(0.6*0.6*6)</f>
        <v>2.16</v>
      </c>
      <c r="E22" s="105"/>
      <c r="F22" s="105">
        <f>D22*E22</f>
        <v>0</v>
      </c>
      <c r="G22" s="106"/>
    </row>
    <row r="23" spans="1:7" ht="93" customHeight="1">
      <c r="A23" s="115" t="s">
        <v>90</v>
      </c>
      <c r="B23" s="63" t="s">
        <v>33</v>
      </c>
      <c r="C23" s="64"/>
      <c r="D23" s="32"/>
      <c r="E23" s="33"/>
      <c r="F23" s="33"/>
      <c r="G23" s="65"/>
    </row>
    <row r="24" spans="1:7" ht="17.25" customHeight="1">
      <c r="A24" s="62" t="s">
        <v>123</v>
      </c>
      <c r="B24" s="63" t="s">
        <v>124</v>
      </c>
      <c r="C24" s="31" t="s">
        <v>120</v>
      </c>
      <c r="D24" s="32">
        <f>0.5*0.5*0.4*6</f>
        <v>0.60000000000000009</v>
      </c>
      <c r="E24" s="33"/>
      <c r="F24" s="33">
        <f>D24*E24</f>
        <v>0</v>
      </c>
      <c r="G24" s="65"/>
    </row>
    <row r="25" spans="1:7" ht="19.5" customHeight="1">
      <c r="A25" s="62" t="s">
        <v>125</v>
      </c>
      <c r="B25" s="63" t="s">
        <v>126</v>
      </c>
      <c r="C25" s="31" t="s">
        <v>120</v>
      </c>
      <c r="D25" s="32">
        <f>0.2*0.2*3.22*6</f>
        <v>0.77280000000000015</v>
      </c>
      <c r="E25" s="33"/>
      <c r="F25" s="33">
        <f>D25*E25</f>
        <v>0</v>
      </c>
      <c r="G25" s="65"/>
    </row>
    <row r="26" spans="1:7" ht="15">
      <c r="A26" s="62" t="s">
        <v>127</v>
      </c>
      <c r="B26" s="63" t="s">
        <v>35</v>
      </c>
      <c r="C26" s="31" t="s">
        <v>120</v>
      </c>
      <c r="D26" s="32">
        <f>((3.93*3+4.51*2+4.09*2)*0.2*0.4)</f>
        <v>2.3192000000000004</v>
      </c>
      <c r="E26" s="33"/>
      <c r="F26" s="33">
        <f>D26*E26</f>
        <v>0</v>
      </c>
      <c r="G26" s="65"/>
    </row>
    <row r="27" spans="1:7" ht="15.75" customHeight="1">
      <c r="A27" s="62" t="s">
        <v>128</v>
      </c>
      <c r="B27" s="63" t="s">
        <v>38</v>
      </c>
      <c r="C27" s="31" t="s">
        <v>120</v>
      </c>
      <c r="D27" s="32">
        <f>((17.72+16.08)*0.15)</f>
        <v>5.0699999999999994</v>
      </c>
      <c r="E27" s="33"/>
      <c r="F27" s="33">
        <f>D27*E27</f>
        <v>0</v>
      </c>
      <c r="G27" s="65"/>
    </row>
    <row r="28" spans="1:7" ht="15.75" customHeight="1">
      <c r="A28" s="62"/>
      <c r="B28" s="63"/>
      <c r="C28" s="31"/>
      <c r="D28" s="13"/>
      <c r="E28" s="33"/>
      <c r="F28" s="33"/>
      <c r="G28" s="65"/>
    </row>
    <row r="29" spans="1:7" ht="15.75" customHeight="1">
      <c r="A29" s="101">
        <v>4</v>
      </c>
      <c r="B29" s="287" t="s">
        <v>129</v>
      </c>
      <c r="C29" s="288"/>
      <c r="D29" s="288"/>
      <c r="E29" s="288"/>
      <c r="F29" s="289"/>
      <c r="G29" s="102">
        <f>+SUM(F31:F32)</f>
        <v>0</v>
      </c>
    </row>
    <row r="30" spans="1:7" ht="15.75" customHeight="1">
      <c r="A30" s="103"/>
      <c r="B30" s="104"/>
      <c r="C30" s="104"/>
      <c r="D30" s="104"/>
      <c r="E30" s="105"/>
      <c r="F30" s="105"/>
      <c r="G30" s="106"/>
    </row>
    <row r="31" spans="1:7" ht="66" customHeight="1">
      <c r="A31" s="75" t="s">
        <v>43</v>
      </c>
      <c r="B31" s="76" t="s">
        <v>130</v>
      </c>
      <c r="C31" s="31" t="s">
        <v>114</v>
      </c>
      <c r="D31" s="32">
        <f>(3.53+1.09)*2.82</f>
        <v>13.0284</v>
      </c>
      <c r="E31" s="33"/>
      <c r="F31" s="33">
        <f>D31*E31</f>
        <v>0</v>
      </c>
      <c r="G31" s="65"/>
    </row>
    <row r="32" spans="1:7" ht="75" customHeight="1">
      <c r="A32" s="75" t="s">
        <v>45</v>
      </c>
      <c r="B32" s="76" t="s">
        <v>131</v>
      </c>
      <c r="C32" s="31" t="s">
        <v>114</v>
      </c>
      <c r="D32" s="32">
        <f>(9.2*2+3.93*2)*0.4</f>
        <v>10.504</v>
      </c>
      <c r="E32" s="33"/>
      <c r="F32" s="33">
        <f>D32*E32</f>
        <v>0</v>
      </c>
      <c r="G32" s="65"/>
    </row>
    <row r="33" spans="1:7">
      <c r="A33" s="116"/>
      <c r="B33" s="117"/>
      <c r="C33" s="117"/>
      <c r="D33" s="117"/>
      <c r="E33" s="118"/>
      <c r="F33" s="118"/>
      <c r="G33" s="119"/>
    </row>
    <row r="34" spans="1:7">
      <c r="A34" s="101">
        <v>5</v>
      </c>
      <c r="B34" s="287" t="s">
        <v>132</v>
      </c>
      <c r="C34" s="288"/>
      <c r="D34" s="288"/>
      <c r="E34" s="288"/>
      <c r="F34" s="289"/>
      <c r="G34" s="102">
        <f>SUM(F36:F39)</f>
        <v>0</v>
      </c>
    </row>
    <row r="35" spans="1:7">
      <c r="A35" s="75"/>
      <c r="B35" s="76"/>
      <c r="C35" s="31"/>
      <c r="D35" s="32"/>
      <c r="E35" s="33"/>
      <c r="F35" s="33"/>
      <c r="G35" s="65"/>
    </row>
    <row r="36" spans="1:7" ht="69.75" customHeight="1">
      <c r="A36" s="75" t="s">
        <v>93</v>
      </c>
      <c r="B36" s="76" t="s">
        <v>133</v>
      </c>
      <c r="C36" s="31" t="s">
        <v>114</v>
      </c>
      <c r="D36" s="32">
        <f>((3.93+4.51+4.09)*2.97-(0.91*2.1+0.8*2.1+0.6*0.6))</f>
        <v>33.263100000000001</v>
      </c>
      <c r="E36" s="33"/>
      <c r="F36" s="33">
        <f>+D36*E36</f>
        <v>0</v>
      </c>
      <c r="G36" s="65"/>
    </row>
    <row r="37" spans="1:7" ht="74.25" customHeight="1">
      <c r="A37" s="75" t="s">
        <v>134</v>
      </c>
      <c r="B37" s="76" t="s">
        <v>44</v>
      </c>
      <c r="C37" s="31" t="s">
        <v>114</v>
      </c>
      <c r="D37" s="32">
        <f>((3.53*2+9.2+0.99*2)*2.97-(0.91*1.1+0.85*2.1+0.61*1.1+0.8*2.1))</f>
        <v>49.035800000000002</v>
      </c>
      <c r="E37" s="33">
        <v>0</v>
      </c>
      <c r="F37" s="33">
        <f>+D37*E37</f>
        <v>0</v>
      </c>
      <c r="G37" s="65"/>
    </row>
    <row r="38" spans="1:7" ht="45" customHeight="1">
      <c r="A38" s="75" t="s">
        <v>135</v>
      </c>
      <c r="B38" s="76" t="s">
        <v>136</v>
      </c>
      <c r="C38" s="31" t="s">
        <v>114</v>
      </c>
      <c r="D38" s="32">
        <f>((9.2*2.97)-(0.91*1.1+0.85*2.1+0.61*1.1))</f>
        <v>23.866999999999997</v>
      </c>
      <c r="E38" s="33"/>
      <c r="F38" s="33">
        <f>+D38*E38</f>
        <v>0</v>
      </c>
      <c r="G38" s="65"/>
    </row>
    <row r="39" spans="1:7" ht="34.5" customHeight="1">
      <c r="A39" s="75" t="s">
        <v>137</v>
      </c>
      <c r="B39" s="76" t="s">
        <v>138</v>
      </c>
      <c r="C39" s="31" t="s">
        <v>114</v>
      </c>
      <c r="D39" s="32">
        <f>D36</f>
        <v>33.263100000000001</v>
      </c>
      <c r="E39" s="33"/>
      <c r="F39" s="120">
        <f>D39*E39</f>
        <v>0</v>
      </c>
      <c r="G39" s="65"/>
    </row>
    <row r="40" spans="1:7">
      <c r="A40" s="75"/>
      <c r="B40" s="76"/>
      <c r="C40" s="31"/>
      <c r="D40" s="32"/>
      <c r="E40" s="33"/>
      <c r="F40" s="33"/>
      <c r="G40" s="65"/>
    </row>
    <row r="41" spans="1:7">
      <c r="A41" s="101">
        <v>6</v>
      </c>
      <c r="B41" s="287" t="s">
        <v>139</v>
      </c>
      <c r="C41" s="288"/>
      <c r="D41" s="288"/>
      <c r="E41" s="288"/>
      <c r="F41" s="289"/>
      <c r="G41" s="102">
        <f>+SUM(F44:F51)</f>
        <v>0</v>
      </c>
    </row>
    <row r="42" spans="1:7">
      <c r="A42" s="75"/>
      <c r="B42" s="76"/>
      <c r="C42" s="121"/>
      <c r="D42" s="32"/>
      <c r="E42" s="33"/>
      <c r="F42" s="33"/>
      <c r="G42" s="65"/>
    </row>
    <row r="43" spans="1:7" ht="21" customHeight="1">
      <c r="A43" s="122" t="s">
        <v>66</v>
      </c>
      <c r="B43" s="123" t="s">
        <v>140</v>
      </c>
      <c r="C43" s="31"/>
      <c r="D43" s="32"/>
      <c r="E43" s="33"/>
      <c r="F43" s="33"/>
      <c r="G43" s="65"/>
    </row>
    <row r="44" spans="1:7" ht="54.75" customHeight="1">
      <c r="A44" s="75" t="s">
        <v>141</v>
      </c>
      <c r="B44" s="76" t="s">
        <v>142</v>
      </c>
      <c r="C44" s="31" t="s">
        <v>114</v>
      </c>
      <c r="D44" s="32">
        <f>3.49</f>
        <v>3.49</v>
      </c>
      <c r="E44" s="33"/>
      <c r="F44" s="33">
        <f t="shared" ref="F44:F46" si="0">D44*E44</f>
        <v>0</v>
      </c>
      <c r="G44" s="65"/>
    </row>
    <row r="45" spans="1:7" ht="54" customHeight="1">
      <c r="A45" s="75" t="s">
        <v>143</v>
      </c>
      <c r="B45" s="76" t="s">
        <v>64</v>
      </c>
      <c r="C45" s="31" t="s">
        <v>114</v>
      </c>
      <c r="D45" s="32">
        <f>D44</f>
        <v>3.49</v>
      </c>
      <c r="E45" s="33"/>
      <c r="F45" s="33">
        <f t="shared" si="0"/>
        <v>0</v>
      </c>
      <c r="G45" s="65"/>
    </row>
    <row r="46" spans="1:7" ht="53.25" customHeight="1">
      <c r="A46" s="75" t="s">
        <v>144</v>
      </c>
      <c r="B46" s="76" t="s">
        <v>62</v>
      </c>
      <c r="C46" s="31" t="s">
        <v>114</v>
      </c>
      <c r="D46" s="32">
        <f>(0.8+0.8)*2.1</f>
        <v>3.3600000000000003</v>
      </c>
      <c r="E46" s="33"/>
      <c r="F46" s="33">
        <f t="shared" si="0"/>
        <v>0</v>
      </c>
      <c r="G46" s="65"/>
    </row>
    <row r="47" spans="1:7" ht="17.25" customHeight="1">
      <c r="A47" s="122" t="s">
        <v>145</v>
      </c>
      <c r="B47" s="123" t="s">
        <v>53</v>
      </c>
      <c r="C47" s="31"/>
      <c r="D47" s="32"/>
      <c r="E47" s="33"/>
      <c r="F47" s="33"/>
      <c r="G47" s="65"/>
    </row>
    <row r="48" spans="1:7" ht="69.75" customHeight="1">
      <c r="A48" s="75" t="s">
        <v>146</v>
      </c>
      <c r="B48" s="76" t="s">
        <v>55</v>
      </c>
      <c r="C48" s="31" t="s">
        <v>147</v>
      </c>
      <c r="D48" s="32">
        <v>1</v>
      </c>
      <c r="E48" s="33"/>
      <c r="F48" s="33">
        <f>D48*E48</f>
        <v>0</v>
      </c>
      <c r="G48" s="65"/>
    </row>
    <row r="49" spans="1:7" ht="71.25" customHeight="1">
      <c r="A49" s="75" t="s">
        <v>148</v>
      </c>
      <c r="B49" s="76" t="s">
        <v>58</v>
      </c>
      <c r="C49" s="31" t="s">
        <v>147</v>
      </c>
      <c r="D49" s="32">
        <v>1</v>
      </c>
      <c r="E49" s="33"/>
      <c r="F49" s="33">
        <f>D49*E49</f>
        <v>0</v>
      </c>
      <c r="G49" s="65"/>
    </row>
    <row r="50" spans="1:7" ht="77.25" customHeight="1">
      <c r="A50" s="75" t="s">
        <v>149</v>
      </c>
      <c r="B50" s="76" t="s">
        <v>150</v>
      </c>
      <c r="C50" s="31" t="s">
        <v>147</v>
      </c>
      <c r="D50" s="32">
        <v>1</v>
      </c>
      <c r="E50" s="33"/>
      <c r="F50" s="33">
        <f>D50*E50</f>
        <v>0</v>
      </c>
      <c r="G50" s="65"/>
    </row>
    <row r="51" spans="1:7">
      <c r="A51" s="75"/>
      <c r="B51" s="76"/>
      <c r="C51" s="121"/>
      <c r="D51" s="32"/>
      <c r="E51" s="33"/>
      <c r="F51" s="33"/>
      <c r="G51" s="65"/>
    </row>
    <row r="52" spans="1:7">
      <c r="A52" s="101">
        <v>7</v>
      </c>
      <c r="B52" s="287" t="s">
        <v>151</v>
      </c>
      <c r="C52" s="288"/>
      <c r="D52" s="288"/>
      <c r="E52" s="288"/>
      <c r="F52" s="289"/>
      <c r="G52" s="102">
        <f>+SUM(F54:F54)</f>
        <v>0</v>
      </c>
    </row>
    <row r="53" spans="1:7" ht="12" customHeight="1">
      <c r="A53" s="75"/>
      <c r="B53" s="76"/>
      <c r="C53" s="121"/>
      <c r="D53" s="32"/>
      <c r="E53" s="33"/>
      <c r="F53" s="33"/>
      <c r="G53" s="65"/>
    </row>
    <row r="54" spans="1:7" ht="59.25" customHeight="1">
      <c r="A54" s="75" t="s">
        <v>70</v>
      </c>
      <c r="B54" s="124" t="s">
        <v>152</v>
      </c>
      <c r="C54" s="31" t="s">
        <v>68</v>
      </c>
      <c r="D54" s="32">
        <v>1</v>
      </c>
      <c r="E54" s="33"/>
      <c r="F54" s="33">
        <f>D54*E54</f>
        <v>0</v>
      </c>
      <c r="G54" s="65"/>
    </row>
    <row r="55" spans="1:7">
      <c r="A55" s="75"/>
      <c r="B55" s="76"/>
      <c r="C55" s="121"/>
      <c r="D55" s="32"/>
      <c r="E55" s="33"/>
      <c r="F55" s="33"/>
      <c r="G55" s="65"/>
    </row>
    <row r="56" spans="1:7">
      <c r="A56" s="101">
        <v>8</v>
      </c>
      <c r="B56" s="287" t="s">
        <v>153</v>
      </c>
      <c r="C56" s="288"/>
      <c r="D56" s="288"/>
      <c r="E56" s="288"/>
      <c r="F56" s="289"/>
      <c r="G56" s="102">
        <f>+SUM(F58)</f>
        <v>0</v>
      </c>
    </row>
    <row r="57" spans="1:7">
      <c r="A57" s="75"/>
      <c r="B57" s="76"/>
      <c r="C57" s="121"/>
      <c r="D57" s="32"/>
      <c r="E57" s="33"/>
      <c r="F57" s="33"/>
      <c r="G57" s="65"/>
    </row>
    <row r="58" spans="1:7" ht="52.5" customHeight="1">
      <c r="A58" s="75" t="s">
        <v>73</v>
      </c>
      <c r="B58" s="76" t="s">
        <v>154</v>
      </c>
      <c r="C58" s="31" t="s">
        <v>68</v>
      </c>
      <c r="D58" s="32">
        <v>1</v>
      </c>
      <c r="E58" s="33"/>
      <c r="F58" s="33">
        <f>D58*E58</f>
        <v>0</v>
      </c>
      <c r="G58" s="65"/>
    </row>
    <row r="59" spans="1:7" ht="16.5" customHeight="1">
      <c r="A59" s="75"/>
      <c r="B59" s="76"/>
      <c r="C59" s="31"/>
      <c r="D59" s="32"/>
      <c r="E59" s="33"/>
      <c r="F59" s="33"/>
      <c r="G59" s="65"/>
    </row>
    <row r="60" spans="1:7" ht="16.5" customHeight="1">
      <c r="A60" s="101">
        <v>9</v>
      </c>
      <c r="B60" s="287" t="s">
        <v>155</v>
      </c>
      <c r="C60" s="288"/>
      <c r="D60" s="288"/>
      <c r="E60" s="288"/>
      <c r="F60" s="289"/>
      <c r="G60" s="102">
        <f>+SUM(F62:F63)</f>
        <v>0</v>
      </c>
    </row>
    <row r="61" spans="1:7" ht="16.5" customHeight="1">
      <c r="A61" s="75"/>
      <c r="B61" s="76"/>
      <c r="C61" s="31"/>
      <c r="D61" s="32"/>
      <c r="E61" s="33"/>
      <c r="F61" s="33"/>
      <c r="G61" s="65"/>
    </row>
    <row r="62" spans="1:7" ht="69" customHeight="1">
      <c r="A62" s="75" t="s">
        <v>76</v>
      </c>
      <c r="B62" s="125" t="s">
        <v>156</v>
      </c>
      <c r="C62" s="31" t="s">
        <v>68</v>
      </c>
      <c r="D62" s="32">
        <v>1</v>
      </c>
      <c r="E62" s="33"/>
      <c r="F62" s="33">
        <f>E62*D62</f>
        <v>0</v>
      </c>
      <c r="G62" s="65"/>
    </row>
    <row r="63" spans="1:7" ht="55.2">
      <c r="A63" s="75" t="s">
        <v>78</v>
      </c>
      <c r="B63" s="124" t="s">
        <v>157</v>
      </c>
      <c r="C63" s="31" t="s">
        <v>68</v>
      </c>
      <c r="D63" s="32">
        <f>1</f>
        <v>1</v>
      </c>
      <c r="E63" s="33"/>
      <c r="F63" s="33">
        <f>D63*E63</f>
        <v>0</v>
      </c>
      <c r="G63" s="65"/>
    </row>
    <row r="64" spans="1:7" ht="70.5" customHeight="1">
      <c r="A64" s="75"/>
      <c r="B64" s="76"/>
      <c r="C64" s="31"/>
      <c r="D64" s="32"/>
      <c r="E64" s="33"/>
      <c r="F64" s="33"/>
      <c r="G64" s="65"/>
    </row>
    <row r="65" spans="1:7" ht="16.5" customHeight="1">
      <c r="A65" s="101">
        <v>10</v>
      </c>
      <c r="B65" s="287" t="s">
        <v>158</v>
      </c>
      <c r="C65" s="288"/>
      <c r="D65" s="288"/>
      <c r="E65" s="288"/>
      <c r="F65" s="289"/>
      <c r="G65" s="102">
        <f>+F67</f>
        <v>0</v>
      </c>
    </row>
    <row r="66" spans="1:7" ht="16.5" customHeight="1">
      <c r="A66" s="75"/>
      <c r="B66" s="76"/>
      <c r="C66" s="31"/>
      <c r="D66" s="32"/>
      <c r="E66" s="33"/>
      <c r="F66" s="33"/>
      <c r="G66" s="65"/>
    </row>
    <row r="67" spans="1:7" ht="16.5" customHeight="1">
      <c r="A67" s="75" t="s">
        <v>80</v>
      </c>
      <c r="B67" s="125" t="s">
        <v>159</v>
      </c>
      <c r="C67" s="31" t="s">
        <v>68</v>
      </c>
      <c r="D67" s="32">
        <v>1</v>
      </c>
      <c r="E67" s="33"/>
      <c r="F67" s="33">
        <f>+D67*E67</f>
        <v>0</v>
      </c>
      <c r="G67" s="65"/>
    </row>
    <row r="68" spans="1:7" ht="65.25" customHeight="1">
      <c r="A68" s="75" t="s">
        <v>160</v>
      </c>
      <c r="B68" s="124" t="s">
        <v>62</v>
      </c>
      <c r="C68" s="31" t="s">
        <v>114</v>
      </c>
      <c r="D68" s="32">
        <f>(1.8*0.6)</f>
        <v>1.08</v>
      </c>
      <c r="E68" s="33"/>
      <c r="F68" s="33">
        <f t="shared" ref="F68" si="1">D68*E68</f>
        <v>0</v>
      </c>
      <c r="G68" s="65"/>
    </row>
    <row r="69" spans="1:7" ht="16.5" customHeight="1">
      <c r="A69" s="75"/>
      <c r="B69" s="76"/>
      <c r="C69" s="31"/>
      <c r="D69" s="32"/>
      <c r="E69" s="33"/>
      <c r="F69" s="33"/>
      <c r="G69" s="65"/>
    </row>
    <row r="70" spans="1:7" ht="16.5" customHeight="1">
      <c r="A70" s="126">
        <v>11</v>
      </c>
      <c r="B70" s="306" t="s">
        <v>161</v>
      </c>
      <c r="C70" s="306"/>
      <c r="D70" s="306"/>
      <c r="E70" s="306"/>
      <c r="F70" s="306"/>
      <c r="G70" s="127">
        <f>+SUM(F72:F73)</f>
        <v>0</v>
      </c>
    </row>
    <row r="71" spans="1:7" ht="16.5" customHeight="1">
      <c r="A71" s="128"/>
      <c r="B71" s="129"/>
      <c r="C71" s="130"/>
      <c r="D71" s="131"/>
      <c r="E71" s="132"/>
      <c r="F71" s="132"/>
      <c r="G71" s="133"/>
    </row>
    <row r="72" spans="1:7" ht="48.75" customHeight="1">
      <c r="A72" s="225" t="s">
        <v>83</v>
      </c>
      <c r="B72" s="124" t="s">
        <v>162</v>
      </c>
      <c r="C72" s="226" t="s">
        <v>85</v>
      </c>
      <c r="D72" s="227">
        <v>2</v>
      </c>
      <c r="E72" s="228"/>
      <c r="F72" s="33">
        <f t="shared" ref="F72:F73" si="2">D72*E72</f>
        <v>0</v>
      </c>
      <c r="G72" s="144"/>
    </row>
    <row r="73" spans="1:7" ht="50.25" customHeight="1">
      <c r="A73" s="225" t="s">
        <v>163</v>
      </c>
      <c r="B73" s="124" t="s">
        <v>164</v>
      </c>
      <c r="C73" s="31" t="s">
        <v>85</v>
      </c>
      <c r="D73" s="229">
        <v>2</v>
      </c>
      <c r="E73" s="76"/>
      <c r="F73" s="33">
        <f t="shared" si="2"/>
        <v>0</v>
      </c>
      <c r="G73" s="144"/>
    </row>
    <row r="74" spans="1:7">
      <c r="A74" s="135"/>
      <c r="B74" s="135"/>
      <c r="C74" s="135"/>
      <c r="D74" s="135"/>
      <c r="E74" s="136"/>
      <c r="F74" s="136"/>
      <c r="G74" s="137"/>
    </row>
    <row r="75" spans="1:7">
      <c r="A75" s="138" t="s">
        <v>165</v>
      </c>
      <c r="B75" s="139" t="s">
        <v>166</v>
      </c>
      <c r="C75" s="140"/>
      <c r="D75" s="140"/>
      <c r="E75" s="140"/>
      <c r="F75" s="141"/>
      <c r="G75" s="102">
        <f>+SUM(F77:F79)</f>
        <v>0</v>
      </c>
    </row>
    <row r="76" spans="1:7">
      <c r="A76" s="157"/>
      <c r="B76" s="129"/>
      <c r="C76" s="129"/>
      <c r="D76" s="129"/>
      <c r="E76" s="129"/>
      <c r="F76" s="129"/>
      <c r="G76" s="143"/>
    </row>
    <row r="77" spans="1:7" ht="41.4">
      <c r="A77" s="158" t="s">
        <v>110</v>
      </c>
      <c r="B77" s="76" t="s">
        <v>167</v>
      </c>
      <c r="C77" s="31" t="s">
        <v>85</v>
      </c>
      <c r="D77" s="32">
        <v>1</v>
      </c>
      <c r="E77" s="76"/>
      <c r="F77" s="33">
        <f>D77*E77</f>
        <v>0</v>
      </c>
      <c r="G77" s="143"/>
    </row>
    <row r="78" spans="1:7" ht="41.4">
      <c r="A78" s="142" t="s">
        <v>111</v>
      </c>
      <c r="B78" s="76" t="s">
        <v>168</v>
      </c>
      <c r="C78" s="31" t="s">
        <v>85</v>
      </c>
      <c r="D78" s="32">
        <v>1</v>
      </c>
      <c r="E78" s="76"/>
      <c r="F78" s="33">
        <f>D78*E78</f>
        <v>0</v>
      </c>
      <c r="G78" s="144"/>
    </row>
    <row r="79" spans="1:7" ht="41.4">
      <c r="A79" s="75" t="s">
        <v>169</v>
      </c>
      <c r="B79" s="86" t="s">
        <v>170</v>
      </c>
      <c r="C79" s="31" t="s">
        <v>85</v>
      </c>
      <c r="D79" s="32">
        <v>1</v>
      </c>
      <c r="E79" s="86"/>
      <c r="F79" s="33">
        <f>D79*E79</f>
        <v>0</v>
      </c>
      <c r="G79" s="145"/>
    </row>
    <row r="80" spans="1:7" ht="15" thickBot="1">
      <c r="A80" s="146"/>
      <c r="B80" s="147"/>
      <c r="C80" s="148"/>
      <c r="D80" s="149"/>
      <c r="E80" s="136"/>
      <c r="F80" s="136"/>
      <c r="G80" s="137"/>
    </row>
    <row r="81" spans="1:7">
      <c r="A81" s="150"/>
      <c r="B81" s="298"/>
      <c r="C81" s="299"/>
      <c r="D81" s="299"/>
      <c r="E81" s="299"/>
      <c r="F81" s="300"/>
      <c r="G81" s="301">
        <f>+SUM(G10:G80)</f>
        <v>0</v>
      </c>
    </row>
    <row r="82" spans="1:7" ht="15" thickBot="1">
      <c r="A82" s="151"/>
      <c r="B82" s="303" t="s">
        <v>86</v>
      </c>
      <c r="C82" s="304"/>
      <c r="D82" s="304"/>
      <c r="E82" s="304"/>
      <c r="F82" s="305"/>
      <c r="G82" s="302"/>
    </row>
  </sheetData>
  <mergeCells count="23">
    <mergeCell ref="B81:F81"/>
    <mergeCell ref="G81:G82"/>
    <mergeCell ref="B82:F82"/>
    <mergeCell ref="B34:F34"/>
    <mergeCell ref="B41:F41"/>
    <mergeCell ref="B52:F52"/>
    <mergeCell ref="B56:F56"/>
    <mergeCell ref="B60:F60"/>
    <mergeCell ref="B65:F65"/>
    <mergeCell ref="B70:F70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6:F16"/>
    <mergeCell ref="B20:F20"/>
    <mergeCell ref="B29:F2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zoomScale="112" zoomScaleNormal="100" zoomScaleSheetLayoutView="112" workbookViewId="0">
      <selection activeCell="E28" sqref="E28"/>
    </sheetView>
  </sheetViews>
  <sheetFormatPr defaultRowHeight="14.4"/>
  <cols>
    <col min="1" max="1" width="9.33203125" style="161" customWidth="1"/>
    <col min="2" max="2" width="39.5546875" style="162" customWidth="1"/>
    <col min="3" max="3" width="4.5546875" style="162" customWidth="1"/>
    <col min="4" max="4" width="6.5546875" style="162" customWidth="1"/>
    <col min="5" max="5" width="11.44140625" style="163" customWidth="1"/>
    <col min="6" max="6" width="11.44140625" style="163" bestFit="1" customWidth="1"/>
    <col min="7" max="7" width="15.109375" style="162" customWidth="1"/>
  </cols>
  <sheetData>
    <row r="1" spans="1:7" ht="8.1" customHeight="1"/>
    <row r="2" spans="1:7">
      <c r="A2" s="164" t="s">
        <v>9</v>
      </c>
      <c r="B2" s="164"/>
      <c r="C2" s="164"/>
      <c r="D2" s="164"/>
      <c r="E2" s="165"/>
      <c r="F2" s="166"/>
      <c r="G2" s="164"/>
    </row>
    <row r="3" spans="1:7">
      <c r="A3" s="167" t="s">
        <v>10</v>
      </c>
      <c r="B3" s="164" t="s">
        <v>11</v>
      </c>
      <c r="C3" s="167"/>
      <c r="E3" s="168"/>
      <c r="F3" s="168"/>
      <c r="G3" s="167"/>
    </row>
    <row r="4" spans="1:7">
      <c r="A4" s="167" t="s">
        <v>12</v>
      </c>
      <c r="B4" s="164"/>
      <c r="C4" s="167"/>
      <c r="D4" s="167"/>
      <c r="E4" s="165"/>
      <c r="F4" s="318"/>
      <c r="G4" s="318"/>
    </row>
    <row r="5" spans="1:7">
      <c r="A5" s="167" t="s">
        <v>13</v>
      </c>
      <c r="B5" s="164" t="s">
        <v>14</v>
      </c>
      <c r="C5" s="167"/>
      <c r="D5" s="167"/>
      <c r="E5" s="165"/>
      <c r="F5" s="318" t="s">
        <v>15</v>
      </c>
      <c r="G5" s="318"/>
    </row>
    <row r="6" spans="1:7" ht="15" thickBot="1">
      <c r="A6" s="167"/>
      <c r="B6" s="164"/>
      <c r="C6" s="167"/>
      <c r="D6" s="167"/>
      <c r="E6" s="169"/>
      <c r="F6" s="169"/>
      <c r="G6" s="167"/>
    </row>
    <row r="7" spans="1:7" ht="15" thickBot="1">
      <c r="A7" s="319" t="s">
        <v>16</v>
      </c>
      <c r="B7" s="319" t="s">
        <v>17</v>
      </c>
      <c r="C7" s="319" t="s">
        <v>18</v>
      </c>
      <c r="D7" s="321" t="s">
        <v>19</v>
      </c>
      <c r="E7" s="323" t="s">
        <v>20</v>
      </c>
      <c r="F7" s="325" t="s">
        <v>21</v>
      </c>
      <c r="G7" s="326"/>
    </row>
    <row r="8" spans="1:7" ht="15" thickBot="1">
      <c r="A8" s="320"/>
      <c r="B8" s="320" t="s">
        <v>22</v>
      </c>
      <c r="C8" s="320" t="s">
        <v>23</v>
      </c>
      <c r="D8" s="322" t="s">
        <v>24</v>
      </c>
      <c r="E8" s="324"/>
      <c r="F8" s="170" t="s">
        <v>25</v>
      </c>
      <c r="G8" s="171" t="s">
        <v>26</v>
      </c>
    </row>
    <row r="9" spans="1:7" ht="12" customHeight="1">
      <c r="A9" s="327"/>
      <c r="B9" s="328"/>
      <c r="C9" s="328"/>
      <c r="D9" s="328"/>
      <c r="E9" s="328"/>
      <c r="F9" s="328"/>
      <c r="G9" s="329"/>
    </row>
    <row r="10" spans="1:7">
      <c r="A10" s="15">
        <v>1</v>
      </c>
      <c r="B10" s="307" t="s">
        <v>27</v>
      </c>
      <c r="C10" s="308"/>
      <c r="D10" s="308"/>
      <c r="E10" s="308"/>
      <c r="F10" s="309"/>
      <c r="G10" s="2">
        <f>+SUM(F12:F12)</f>
        <v>0</v>
      </c>
    </row>
    <row r="11" spans="1:7" ht="6.9" customHeight="1">
      <c r="A11" s="172"/>
      <c r="B11" s="173"/>
      <c r="C11" s="173"/>
      <c r="D11" s="173"/>
      <c r="E11" s="174"/>
      <c r="F11" s="174"/>
      <c r="G11" s="175"/>
    </row>
    <row r="12" spans="1:7" ht="55.2">
      <c r="A12" s="176" t="s">
        <v>28</v>
      </c>
      <c r="B12" s="177" t="s">
        <v>29</v>
      </c>
      <c r="C12" s="10" t="s">
        <v>30</v>
      </c>
      <c r="D12" s="13">
        <v>6.24</v>
      </c>
      <c r="E12" s="178"/>
      <c r="F12" s="178">
        <f>D12*E12</f>
        <v>0</v>
      </c>
      <c r="G12" s="179"/>
    </row>
    <row r="13" spans="1:7" ht="6.9" customHeight="1">
      <c r="A13" s="180"/>
      <c r="B13" s="181"/>
      <c r="C13" s="181"/>
      <c r="D13" s="181"/>
      <c r="E13" s="182"/>
      <c r="F13" s="178"/>
      <c r="G13" s="183"/>
    </row>
    <row r="14" spans="1:7">
      <c r="A14" s="15">
        <v>2</v>
      </c>
      <c r="B14" s="307" t="s">
        <v>31</v>
      </c>
      <c r="C14" s="308"/>
      <c r="D14" s="308"/>
      <c r="E14" s="308"/>
      <c r="F14" s="309"/>
      <c r="G14" s="2">
        <f>SUM(F17:F18)</f>
        <v>0</v>
      </c>
    </row>
    <row r="15" spans="1:7">
      <c r="A15" s="172"/>
      <c r="B15" s="173"/>
      <c r="C15" s="173"/>
      <c r="D15" s="173"/>
      <c r="E15" s="174"/>
      <c r="F15" s="174"/>
      <c r="G15" s="175"/>
    </row>
    <row r="16" spans="1:7" ht="96.6">
      <c r="A16" s="176" t="s">
        <v>32</v>
      </c>
      <c r="B16" s="184" t="s">
        <v>33</v>
      </c>
      <c r="C16" s="185"/>
      <c r="D16" s="13"/>
      <c r="E16" s="178"/>
      <c r="F16" s="178"/>
      <c r="G16" s="186"/>
    </row>
    <row r="17" spans="1:7" ht="16.8">
      <c r="A17" s="176" t="s">
        <v>34</v>
      </c>
      <c r="B17" s="184" t="s">
        <v>35</v>
      </c>
      <c r="C17" s="10" t="s">
        <v>36</v>
      </c>
      <c r="D17" s="13">
        <f>0.2*0.4*6.2*2+0.2*0.4*2.04*3</f>
        <v>1.4816000000000003</v>
      </c>
      <c r="E17" s="178"/>
      <c r="F17" s="178">
        <f t="shared" ref="F17:F18" si="0">D17*E17</f>
        <v>0</v>
      </c>
      <c r="G17" s="186"/>
    </row>
    <row r="18" spans="1:7" ht="16.8">
      <c r="A18" s="176" t="s">
        <v>37</v>
      </c>
      <c r="B18" s="184" t="s">
        <v>38</v>
      </c>
      <c r="C18" s="10" t="s">
        <v>36</v>
      </c>
      <c r="D18" s="13">
        <f>10.5*0.15</f>
        <v>1.575</v>
      </c>
      <c r="E18" s="178"/>
      <c r="F18" s="178">
        <f t="shared" si="0"/>
        <v>0</v>
      </c>
      <c r="G18" s="186"/>
    </row>
    <row r="19" spans="1:7" ht="6.9" customHeight="1">
      <c r="A19" s="180"/>
      <c r="B19" s="187"/>
      <c r="C19" s="187"/>
      <c r="D19" s="187"/>
      <c r="E19" s="188"/>
      <c r="F19" s="188"/>
      <c r="G19" s="189"/>
    </row>
    <row r="20" spans="1:7">
      <c r="A20" s="15">
        <v>3</v>
      </c>
      <c r="B20" s="307" t="s">
        <v>39</v>
      </c>
      <c r="C20" s="308"/>
      <c r="D20" s="308"/>
      <c r="E20" s="308"/>
      <c r="F20" s="309"/>
      <c r="G20" s="2">
        <f>+SUM(F22:F22)</f>
        <v>0</v>
      </c>
    </row>
    <row r="21" spans="1:7" ht="6.9" customHeight="1">
      <c r="A21" s="172"/>
      <c r="B21" s="173"/>
      <c r="C21" s="173"/>
      <c r="D21" s="173"/>
      <c r="E21" s="174"/>
      <c r="F21" s="174"/>
      <c r="G21" s="175"/>
    </row>
    <row r="22" spans="1:7" ht="69">
      <c r="A22" s="190" t="s">
        <v>40</v>
      </c>
      <c r="B22" s="9" t="s">
        <v>41</v>
      </c>
      <c r="C22" s="10" t="s">
        <v>30</v>
      </c>
      <c r="D22" s="13">
        <f>1.2*2.85+1.1*0.6+0.8*0.6</f>
        <v>4.5600000000000005</v>
      </c>
      <c r="E22" s="178"/>
      <c r="F22" s="178">
        <f t="shared" ref="F22" si="1">D22*E22</f>
        <v>0</v>
      </c>
      <c r="G22" s="186"/>
    </row>
    <row r="23" spans="1:7">
      <c r="A23" s="190"/>
      <c r="B23" s="9"/>
      <c r="C23" s="10"/>
      <c r="D23" s="13"/>
      <c r="E23" s="178"/>
      <c r="F23" s="178"/>
      <c r="G23" s="186"/>
    </row>
    <row r="24" spans="1:7">
      <c r="A24" s="15">
        <v>4</v>
      </c>
      <c r="B24" s="307" t="s">
        <v>42</v>
      </c>
      <c r="C24" s="308"/>
      <c r="D24" s="308"/>
      <c r="E24" s="308"/>
      <c r="F24" s="309"/>
      <c r="G24" s="2">
        <f>SUM(F26:F29)</f>
        <v>0</v>
      </c>
    </row>
    <row r="25" spans="1:7">
      <c r="A25" s="190"/>
      <c r="B25" s="9"/>
      <c r="C25" s="10"/>
      <c r="D25" s="13"/>
      <c r="E25" s="178"/>
      <c r="F25" s="178"/>
      <c r="G25" s="186"/>
    </row>
    <row r="26" spans="1:7" ht="82.8">
      <c r="A26" s="190" t="s">
        <v>43</v>
      </c>
      <c r="B26" s="9" t="s">
        <v>44</v>
      </c>
      <c r="C26" s="10" t="s">
        <v>30</v>
      </c>
      <c r="D26" s="13">
        <v>98.8</v>
      </c>
      <c r="E26" s="178"/>
      <c r="F26" s="178">
        <f>+D26*E26</f>
        <v>0</v>
      </c>
      <c r="G26" s="186"/>
    </row>
    <row r="27" spans="1:7" ht="27.6">
      <c r="A27" s="190" t="s">
        <v>45</v>
      </c>
      <c r="B27" s="191" t="s">
        <v>46</v>
      </c>
      <c r="C27" s="10" t="s">
        <v>30</v>
      </c>
      <c r="D27" s="13">
        <v>98.8</v>
      </c>
      <c r="E27" s="178"/>
      <c r="F27" s="178">
        <f>+D27*E27</f>
        <v>0</v>
      </c>
      <c r="G27" s="186"/>
    </row>
    <row r="28" spans="1:7" ht="27.6">
      <c r="A28" s="190" t="s">
        <v>47</v>
      </c>
      <c r="B28" s="9" t="s">
        <v>48</v>
      </c>
      <c r="C28" s="10" t="s">
        <v>30</v>
      </c>
      <c r="D28" s="13">
        <f>10.5+15.23+7.45</f>
        <v>33.18</v>
      </c>
      <c r="E28" s="178"/>
      <c r="F28" s="178">
        <f>+D28*E28</f>
        <v>0</v>
      </c>
      <c r="G28" s="186"/>
    </row>
    <row r="29" spans="1:7" ht="55.2">
      <c r="A29" s="190" t="s">
        <v>49</v>
      </c>
      <c r="B29" s="9" t="s">
        <v>50</v>
      </c>
      <c r="C29" s="10" t="s">
        <v>30</v>
      </c>
      <c r="D29" s="13">
        <v>12.58</v>
      </c>
      <c r="E29" s="178"/>
      <c r="F29" s="178">
        <f>+D29*E29</f>
        <v>0</v>
      </c>
      <c r="G29" s="186"/>
    </row>
    <row r="30" spans="1:7">
      <c r="A30" s="190"/>
      <c r="B30" s="9"/>
      <c r="C30" s="10"/>
      <c r="D30" s="13"/>
      <c r="E30" s="178"/>
      <c r="F30" s="178"/>
      <c r="G30" s="186"/>
    </row>
    <row r="31" spans="1:7">
      <c r="A31" s="15">
        <v>5</v>
      </c>
      <c r="B31" s="307" t="s">
        <v>51</v>
      </c>
      <c r="C31" s="308"/>
      <c r="D31" s="308"/>
      <c r="E31" s="308"/>
      <c r="F31" s="309"/>
      <c r="G31" s="2">
        <f>+SUM(F34:F38)</f>
        <v>0</v>
      </c>
    </row>
    <row r="32" spans="1:7" ht="6.9" customHeight="1">
      <c r="A32" s="190"/>
      <c r="B32" s="9"/>
      <c r="C32" s="192"/>
      <c r="D32" s="13"/>
      <c r="E32" s="178"/>
      <c r="F32" s="178"/>
      <c r="G32" s="186"/>
    </row>
    <row r="33" spans="1:7">
      <c r="A33" s="190" t="s">
        <v>52</v>
      </c>
      <c r="B33" s="193" t="s">
        <v>53</v>
      </c>
      <c r="C33" s="192"/>
      <c r="D33" s="13"/>
      <c r="E33" s="178"/>
      <c r="F33" s="178"/>
      <c r="G33" s="186"/>
    </row>
    <row r="34" spans="1:7" ht="69">
      <c r="A34" s="190" t="s">
        <v>54</v>
      </c>
      <c r="B34" s="9" t="s">
        <v>55</v>
      </c>
      <c r="C34" s="10" t="s">
        <v>56</v>
      </c>
      <c r="D34" s="13">
        <v>1</v>
      </c>
      <c r="E34" s="178"/>
      <c r="F34" s="178">
        <f>+D34*E34</f>
        <v>0</v>
      </c>
      <c r="G34" s="186"/>
    </row>
    <row r="35" spans="1:7" ht="69">
      <c r="A35" s="190" t="s">
        <v>57</v>
      </c>
      <c r="B35" s="9" t="s">
        <v>58</v>
      </c>
      <c r="C35" s="10" t="s">
        <v>56</v>
      </c>
      <c r="D35" s="13">
        <v>1</v>
      </c>
      <c r="E35" s="178"/>
      <c r="F35" s="178">
        <f t="shared" ref="F35:F38" si="2">+D35*E35</f>
        <v>0</v>
      </c>
      <c r="G35" s="186"/>
    </row>
    <row r="36" spans="1:7" ht="69">
      <c r="A36" s="190" t="s">
        <v>59</v>
      </c>
      <c r="B36" s="9" t="s">
        <v>60</v>
      </c>
      <c r="C36" s="10" t="s">
        <v>56</v>
      </c>
      <c r="D36" s="13">
        <v>1</v>
      </c>
      <c r="E36" s="178"/>
      <c r="F36" s="178">
        <f t="shared" si="2"/>
        <v>0</v>
      </c>
      <c r="G36" s="186"/>
    </row>
    <row r="37" spans="1:7" ht="55.2">
      <c r="A37" s="190" t="s">
        <v>61</v>
      </c>
      <c r="B37" s="194" t="s">
        <v>62</v>
      </c>
      <c r="C37" s="10" t="s">
        <v>30</v>
      </c>
      <c r="D37" s="111">
        <f>+(0.8+0.8)*2.1</f>
        <v>3.3600000000000003</v>
      </c>
      <c r="E37" s="112"/>
      <c r="F37" s="178">
        <f t="shared" si="2"/>
        <v>0</v>
      </c>
      <c r="G37" s="195"/>
    </row>
    <row r="38" spans="1:7" ht="55.2">
      <c r="A38" s="190" t="s">
        <v>63</v>
      </c>
      <c r="B38" s="194" t="s">
        <v>64</v>
      </c>
      <c r="C38" s="10" t="s">
        <v>30</v>
      </c>
      <c r="D38" s="111">
        <v>4.3600000000000003</v>
      </c>
      <c r="E38" s="112"/>
      <c r="F38" s="178">
        <f t="shared" si="2"/>
        <v>0</v>
      </c>
      <c r="G38" s="195"/>
    </row>
    <row r="39" spans="1:7">
      <c r="A39" s="196"/>
      <c r="B39" s="191"/>
      <c r="C39" s="110"/>
      <c r="D39" s="111"/>
      <c r="E39" s="112"/>
      <c r="F39" s="113"/>
      <c r="G39" s="195"/>
    </row>
    <row r="40" spans="1:7">
      <c r="A40" s="15">
        <v>6</v>
      </c>
      <c r="B40" s="307" t="s">
        <v>65</v>
      </c>
      <c r="C40" s="308"/>
      <c r="D40" s="308"/>
      <c r="E40" s="308"/>
      <c r="F40" s="309"/>
      <c r="G40" s="2">
        <f>+SUM(F42)</f>
        <v>0</v>
      </c>
    </row>
    <row r="41" spans="1:7" ht="6.9" customHeight="1">
      <c r="A41" s="190"/>
      <c r="B41" s="9"/>
      <c r="C41" s="192"/>
      <c r="D41" s="13"/>
      <c r="E41" s="178"/>
      <c r="F41" s="178"/>
      <c r="G41" s="186"/>
    </row>
    <row r="42" spans="1:7" ht="55.2">
      <c r="A42" s="190" t="s">
        <v>66</v>
      </c>
      <c r="B42" s="9" t="s">
        <v>67</v>
      </c>
      <c r="C42" s="10" t="s">
        <v>68</v>
      </c>
      <c r="D42" s="13">
        <v>1</v>
      </c>
      <c r="E42" s="178"/>
      <c r="F42" s="178">
        <f t="shared" ref="F42" si="3">D42*E42</f>
        <v>0</v>
      </c>
      <c r="G42" s="186"/>
    </row>
    <row r="43" spans="1:7">
      <c r="A43" s="190"/>
      <c r="B43" s="9"/>
      <c r="C43" s="10"/>
      <c r="D43" s="13"/>
      <c r="E43" s="178"/>
      <c r="F43" s="178"/>
      <c r="G43" s="186"/>
    </row>
    <row r="44" spans="1:7">
      <c r="A44" s="15">
        <v>7</v>
      </c>
      <c r="B44" s="307" t="s">
        <v>69</v>
      </c>
      <c r="C44" s="308"/>
      <c r="D44" s="308"/>
      <c r="E44" s="308"/>
      <c r="F44" s="309"/>
      <c r="G44" s="2">
        <f>SUM(F46:F46)</f>
        <v>0</v>
      </c>
    </row>
    <row r="45" spans="1:7">
      <c r="A45" s="196"/>
      <c r="B45" s="191"/>
      <c r="C45" s="197"/>
      <c r="D45" s="111"/>
      <c r="E45" s="112"/>
      <c r="F45" s="113"/>
      <c r="G45" s="195"/>
    </row>
    <row r="46" spans="1:7" ht="55.2">
      <c r="A46" s="190" t="s">
        <v>70</v>
      </c>
      <c r="B46" s="9" t="s">
        <v>71</v>
      </c>
      <c r="C46" s="10" t="s">
        <v>68</v>
      </c>
      <c r="D46" s="13">
        <v>1</v>
      </c>
      <c r="E46" s="178"/>
      <c r="F46" s="178">
        <f>+D46*E46</f>
        <v>0</v>
      </c>
      <c r="G46" s="186"/>
    </row>
    <row r="47" spans="1:7">
      <c r="A47" s="190"/>
      <c r="B47" s="9"/>
      <c r="C47" s="10"/>
      <c r="D47" s="13"/>
      <c r="E47" s="178"/>
      <c r="F47" s="178"/>
      <c r="G47" s="186"/>
    </row>
    <row r="48" spans="1:7">
      <c r="A48" s="15">
        <v>8</v>
      </c>
      <c r="B48" s="307" t="s">
        <v>72</v>
      </c>
      <c r="C48" s="308"/>
      <c r="D48" s="308"/>
      <c r="E48" s="308"/>
      <c r="F48" s="309"/>
      <c r="G48" s="2">
        <f>SUM(F50:F50)</f>
        <v>0</v>
      </c>
    </row>
    <row r="49" spans="1:7">
      <c r="A49" s="196"/>
      <c r="B49" s="191"/>
      <c r="C49" s="197"/>
      <c r="D49" s="111"/>
      <c r="E49" s="112"/>
      <c r="F49" s="113"/>
      <c r="G49" s="195"/>
    </row>
    <row r="50" spans="1:7" ht="69">
      <c r="A50" s="190" t="s">
        <v>73</v>
      </c>
      <c r="B50" s="9" t="s">
        <v>74</v>
      </c>
      <c r="C50" s="197" t="s">
        <v>68</v>
      </c>
      <c r="D50" s="111">
        <v>1</v>
      </c>
      <c r="E50" s="112"/>
      <c r="F50" s="178">
        <f>+D50*E50</f>
        <v>0</v>
      </c>
      <c r="G50" s="186"/>
    </row>
    <row r="51" spans="1:7">
      <c r="A51" s="190"/>
      <c r="B51" s="9"/>
      <c r="C51" s="10"/>
      <c r="D51" s="13"/>
      <c r="E51" s="178"/>
      <c r="F51" s="178"/>
      <c r="G51" s="186"/>
    </row>
    <row r="52" spans="1:7">
      <c r="A52" s="15">
        <v>9</v>
      </c>
      <c r="B52" s="307" t="s">
        <v>75</v>
      </c>
      <c r="C52" s="308"/>
      <c r="D52" s="308"/>
      <c r="E52" s="308"/>
      <c r="F52" s="309"/>
      <c r="G52" s="2">
        <f>SUM(F54:F55)</f>
        <v>0</v>
      </c>
    </row>
    <row r="53" spans="1:7">
      <c r="A53" s="190"/>
      <c r="B53" s="9"/>
      <c r="C53" s="10"/>
      <c r="D53" s="13"/>
      <c r="E53" s="178"/>
      <c r="F53" s="178"/>
      <c r="G53" s="186"/>
    </row>
    <row r="54" spans="1:7" ht="69">
      <c r="A54" s="190" t="s">
        <v>76</v>
      </c>
      <c r="B54" s="191" t="s">
        <v>77</v>
      </c>
      <c r="C54" s="198" t="s">
        <v>68</v>
      </c>
      <c r="D54" s="13">
        <v>1</v>
      </c>
      <c r="E54" s="178"/>
      <c r="F54" s="178">
        <f>+D54*E54</f>
        <v>0</v>
      </c>
      <c r="G54" s="186"/>
    </row>
    <row r="55" spans="1:7" ht="55.2">
      <c r="A55" s="190" t="s">
        <v>78</v>
      </c>
      <c r="B55" s="194" t="s">
        <v>62</v>
      </c>
      <c r="C55" s="10" t="s">
        <v>30</v>
      </c>
      <c r="D55" s="199">
        <f>1.8*0.6</f>
        <v>1.08</v>
      </c>
      <c r="E55" s="178"/>
      <c r="F55" s="178">
        <f>+D55*E55</f>
        <v>0</v>
      </c>
      <c r="G55" s="186"/>
    </row>
    <row r="56" spans="1:7">
      <c r="A56" s="196"/>
      <c r="B56" s="200"/>
      <c r="C56" s="110"/>
      <c r="D56" s="201"/>
      <c r="E56" s="112"/>
      <c r="F56" s="113"/>
      <c r="G56" s="202"/>
    </row>
    <row r="57" spans="1:7">
      <c r="A57" s="15">
        <v>10</v>
      </c>
      <c r="B57" s="307" t="s">
        <v>79</v>
      </c>
      <c r="C57" s="308"/>
      <c r="D57" s="308"/>
      <c r="E57" s="308"/>
      <c r="F57" s="309"/>
      <c r="G57" s="2">
        <f>+F59</f>
        <v>0</v>
      </c>
    </row>
    <row r="58" spans="1:7">
      <c r="A58" s="196"/>
      <c r="E58" s="112"/>
      <c r="F58" s="113"/>
      <c r="G58" s="202"/>
    </row>
    <row r="59" spans="1:7" ht="110.4">
      <c r="A59" s="196" t="s">
        <v>80</v>
      </c>
      <c r="B59" s="191" t="s">
        <v>81</v>
      </c>
      <c r="C59" s="110" t="s">
        <v>68</v>
      </c>
      <c r="D59" s="111">
        <v>1</v>
      </c>
      <c r="E59" s="112"/>
      <c r="F59" s="113">
        <f>+D59*E59</f>
        <v>0</v>
      </c>
      <c r="G59" s="202"/>
    </row>
    <row r="60" spans="1:7">
      <c r="A60" s="196"/>
      <c r="B60" s="191"/>
      <c r="C60" s="110"/>
      <c r="D60" s="111"/>
      <c r="E60" s="112"/>
      <c r="F60" s="113"/>
      <c r="G60" s="202"/>
    </row>
    <row r="61" spans="1:7">
      <c r="A61" s="15">
        <v>11</v>
      </c>
      <c r="B61" s="307" t="s">
        <v>82</v>
      </c>
      <c r="C61" s="308"/>
      <c r="D61" s="308"/>
      <c r="E61" s="308"/>
      <c r="F61" s="309"/>
      <c r="G61" s="2">
        <f>+F63</f>
        <v>0</v>
      </c>
    </row>
    <row r="62" spans="1:7">
      <c r="A62" s="203"/>
      <c r="B62" s="204"/>
      <c r="C62" s="198"/>
      <c r="D62" s="205"/>
      <c r="E62" s="206"/>
      <c r="F62" s="206"/>
      <c r="G62" s="207"/>
    </row>
    <row r="63" spans="1:7" ht="41.4">
      <c r="A63" s="190" t="s">
        <v>83</v>
      </c>
      <c r="B63" s="194" t="s">
        <v>84</v>
      </c>
      <c r="C63" s="10" t="s">
        <v>85</v>
      </c>
      <c r="D63" s="185">
        <v>1</v>
      </c>
      <c r="E63" s="178"/>
      <c r="F63" s="178">
        <f>+D63*E63</f>
        <v>0</v>
      </c>
      <c r="G63" s="186"/>
    </row>
    <row r="64" spans="1:7" ht="15" thickBot="1">
      <c r="A64" s="208"/>
      <c r="B64" s="209"/>
      <c r="C64" s="210"/>
      <c r="D64" s="211"/>
      <c r="E64" s="212"/>
      <c r="F64" s="213"/>
      <c r="G64" s="214"/>
    </row>
    <row r="65" spans="1:7">
      <c r="A65" s="215"/>
      <c r="B65" s="310"/>
      <c r="C65" s="311"/>
      <c r="D65" s="311"/>
      <c r="E65" s="311"/>
      <c r="F65" s="312"/>
      <c r="G65" s="313">
        <f>SUM(G10:G61)</f>
        <v>0</v>
      </c>
    </row>
    <row r="66" spans="1:7" ht="15" thickBot="1">
      <c r="A66" s="216"/>
      <c r="B66" s="315" t="s">
        <v>86</v>
      </c>
      <c r="C66" s="316"/>
      <c r="D66" s="316"/>
      <c r="E66" s="316"/>
      <c r="F66" s="317"/>
      <c r="G66" s="314"/>
    </row>
  </sheetData>
  <mergeCells count="23">
    <mergeCell ref="B31:F31"/>
    <mergeCell ref="B40:F40"/>
    <mergeCell ref="B44:F44"/>
    <mergeCell ref="B48:F48"/>
    <mergeCell ref="A9:G9"/>
    <mergeCell ref="B10:F10"/>
    <mergeCell ref="B14:F14"/>
    <mergeCell ref="B20:F20"/>
    <mergeCell ref="B24:F24"/>
    <mergeCell ref="F4:G4"/>
    <mergeCell ref="F5:G5"/>
    <mergeCell ref="A7:A8"/>
    <mergeCell ref="B7:B8"/>
    <mergeCell ref="C7:C8"/>
    <mergeCell ref="D7:D8"/>
    <mergeCell ref="E7:E8"/>
    <mergeCell ref="F7:G7"/>
    <mergeCell ref="B52:F52"/>
    <mergeCell ref="B57:F57"/>
    <mergeCell ref="B61:F61"/>
    <mergeCell ref="B65:F65"/>
    <mergeCell ref="G65:G66"/>
    <mergeCell ref="B66:F66"/>
  </mergeCells>
  <phoneticPr fontId="2" type="noConversion"/>
  <pageMargins left="0.51181102362204722" right="0.51181102362204722" top="0.78740157480314965" bottom="0.59055118110236227" header="0.31496062992125984" footer="0.39370078740157483"/>
  <pageSetup paperSize="9" scale="94" orientation="portrait" r:id="rId1"/>
  <headerFooter>
    <oddHeader>&amp;L&amp;G</oddHeader>
    <oddFooter>&amp;R&amp;8&amp;K01+033&amp;P/&amp;N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B3" sqref="B3"/>
    </sheetView>
  </sheetViews>
  <sheetFormatPr defaultColWidth="9.109375" defaultRowHeight="14.4"/>
  <cols>
    <col min="2" max="2" width="43.44140625" customWidth="1"/>
    <col min="5" max="5" width="11.88671875" customWidth="1"/>
    <col min="6" max="6" width="10.44140625" customWidth="1"/>
    <col min="7" max="7" width="13.5546875" customWidth="1"/>
  </cols>
  <sheetData>
    <row r="1" spans="1:7">
      <c r="A1" s="95"/>
      <c r="E1" s="96"/>
      <c r="F1" s="96"/>
    </row>
    <row r="2" spans="1:7">
      <c r="A2" s="19" t="s">
        <v>9</v>
      </c>
      <c r="B2" s="19"/>
      <c r="C2" s="97"/>
      <c r="D2" s="97"/>
      <c r="E2" s="20"/>
      <c r="F2" s="98"/>
      <c r="G2" s="97"/>
    </row>
    <row r="3" spans="1:7">
      <c r="A3" s="16" t="s">
        <v>10</v>
      </c>
      <c r="B3" s="19" t="s">
        <v>11</v>
      </c>
      <c r="C3" s="18"/>
      <c r="E3" s="27"/>
      <c r="F3" s="17"/>
      <c r="G3" s="18"/>
    </row>
    <row r="4" spans="1:7">
      <c r="A4" s="16" t="s">
        <v>12</v>
      </c>
      <c r="B4" s="19"/>
      <c r="C4" s="18"/>
      <c r="D4" s="18"/>
      <c r="E4" s="20"/>
      <c r="F4" s="282"/>
      <c r="G4" s="282"/>
    </row>
    <row r="5" spans="1:7">
      <c r="A5" s="16" t="s">
        <v>13</v>
      </c>
      <c r="B5" s="19" t="s">
        <v>171</v>
      </c>
      <c r="C5" s="18"/>
      <c r="D5" s="18"/>
      <c r="E5" s="20"/>
      <c r="F5" s="282" t="s">
        <v>15</v>
      </c>
      <c r="G5" s="282"/>
    </row>
    <row r="6" spans="1:7" ht="15" thickBot="1">
      <c r="A6" s="18"/>
      <c r="B6" s="19"/>
      <c r="C6" s="18"/>
      <c r="D6" s="18"/>
      <c r="E6" s="21"/>
      <c r="F6" s="21"/>
      <c r="G6" s="18"/>
    </row>
    <row r="7" spans="1:7" ht="15" thickBot="1">
      <c r="A7" s="290" t="s">
        <v>16</v>
      </c>
      <c r="B7" s="290" t="s">
        <v>17</v>
      </c>
      <c r="C7" s="290" t="s">
        <v>18</v>
      </c>
      <c r="D7" s="292" t="s">
        <v>19</v>
      </c>
      <c r="E7" s="294" t="s">
        <v>20</v>
      </c>
      <c r="F7" s="296" t="s">
        <v>21</v>
      </c>
      <c r="G7" s="297"/>
    </row>
    <row r="8" spans="1:7" ht="15" thickBot="1">
      <c r="A8" s="291"/>
      <c r="B8" s="291" t="s">
        <v>22</v>
      </c>
      <c r="C8" s="291" t="s">
        <v>23</v>
      </c>
      <c r="D8" s="293" t="s">
        <v>24</v>
      </c>
      <c r="E8" s="295"/>
      <c r="F8" s="99" t="s">
        <v>25</v>
      </c>
      <c r="G8" s="100" t="s">
        <v>26</v>
      </c>
    </row>
    <row r="9" spans="1:7">
      <c r="A9" s="284"/>
      <c r="B9" s="285"/>
      <c r="C9" s="285"/>
      <c r="D9" s="285"/>
      <c r="E9" s="285"/>
      <c r="F9" s="285"/>
      <c r="G9" s="286"/>
    </row>
    <row r="10" spans="1:7">
      <c r="A10" s="101">
        <v>1</v>
      </c>
      <c r="B10" s="287" t="s">
        <v>27</v>
      </c>
      <c r="C10" s="288"/>
      <c r="D10" s="288"/>
      <c r="E10" s="288"/>
      <c r="F10" s="289"/>
      <c r="G10" s="102">
        <f>+SUM(F12:F13)</f>
        <v>0</v>
      </c>
    </row>
    <row r="11" spans="1:7">
      <c r="A11" s="103"/>
      <c r="B11" s="104"/>
      <c r="C11" s="104"/>
      <c r="D11" s="104"/>
      <c r="E11" s="105"/>
      <c r="F11" s="105"/>
      <c r="G11" s="106"/>
    </row>
    <row r="12" spans="1:7" ht="55.5" customHeight="1">
      <c r="A12" s="66" t="s">
        <v>28</v>
      </c>
      <c r="B12" s="30" t="s">
        <v>172</v>
      </c>
      <c r="C12" s="31" t="s">
        <v>114</v>
      </c>
      <c r="D12" s="32">
        <f>72.36</f>
        <v>72.36</v>
      </c>
      <c r="E12" s="33"/>
      <c r="F12" s="33">
        <f>D12*E12</f>
        <v>0</v>
      </c>
      <c r="G12" s="34"/>
    </row>
    <row r="13" spans="1:7" ht="55.5" customHeight="1">
      <c r="A13" s="66" t="s">
        <v>88</v>
      </c>
      <c r="B13" s="30" t="s">
        <v>173</v>
      </c>
      <c r="C13" s="31" t="s">
        <v>114</v>
      </c>
      <c r="D13" s="32">
        <f>(0.25*2.62)*2+0.6*0.6</f>
        <v>1.67</v>
      </c>
      <c r="E13" s="33"/>
      <c r="F13" s="33">
        <f t="shared" ref="F13" si="0">D13*E13</f>
        <v>0</v>
      </c>
      <c r="G13" s="34"/>
    </row>
    <row r="14" spans="1:7" ht="15" customHeight="1">
      <c r="A14" s="66"/>
      <c r="B14" s="30"/>
      <c r="C14" s="31"/>
      <c r="D14" s="32"/>
      <c r="E14" s="33"/>
      <c r="F14" s="33"/>
      <c r="G14" s="34"/>
    </row>
    <row r="15" spans="1:7" ht="18.75" customHeight="1">
      <c r="A15" s="101">
        <v>2</v>
      </c>
      <c r="B15" s="287" t="s">
        <v>118</v>
      </c>
      <c r="C15" s="288"/>
      <c r="D15" s="288"/>
      <c r="E15" s="288"/>
      <c r="F15" s="289"/>
      <c r="G15" s="102">
        <f>SUM(F17)</f>
        <v>0</v>
      </c>
    </row>
    <row r="16" spans="1:7" ht="16.5" customHeight="1">
      <c r="A16" s="66"/>
      <c r="B16" s="30"/>
      <c r="C16" s="31"/>
      <c r="D16" s="32"/>
      <c r="E16" s="33"/>
      <c r="F16" s="33"/>
      <c r="G16" s="34"/>
    </row>
    <row r="17" spans="1:7" ht="45" customHeight="1">
      <c r="A17" s="66" t="s">
        <v>32</v>
      </c>
      <c r="B17" s="30" t="s">
        <v>119</v>
      </c>
      <c r="C17" s="31" t="s">
        <v>120</v>
      </c>
      <c r="D17" s="32">
        <f>0.8*0.8*0.4*2</f>
        <v>0.51200000000000012</v>
      </c>
      <c r="E17" s="33"/>
      <c r="F17" s="33">
        <f>D17*E17</f>
        <v>0</v>
      </c>
      <c r="G17" s="34"/>
    </row>
    <row r="18" spans="1:7" ht="18" customHeight="1">
      <c r="A18" s="75"/>
      <c r="B18" s="76"/>
      <c r="C18" s="31"/>
      <c r="D18" s="32"/>
      <c r="E18" s="33"/>
      <c r="F18" s="33"/>
      <c r="G18" s="65"/>
    </row>
    <row r="19" spans="1:7" ht="19.5" customHeight="1">
      <c r="A19" s="101">
        <v>3</v>
      </c>
      <c r="B19" s="287" t="s">
        <v>121</v>
      </c>
      <c r="C19" s="288"/>
      <c r="D19" s="288"/>
      <c r="E19" s="288"/>
      <c r="F19" s="289"/>
      <c r="G19" s="102">
        <f>SUM(F21:F26)</f>
        <v>0</v>
      </c>
    </row>
    <row r="20" spans="1:7" ht="19.5" customHeight="1">
      <c r="A20" s="152"/>
      <c r="B20" s="153"/>
      <c r="C20" s="154"/>
      <c r="D20" s="154"/>
      <c r="E20" s="154"/>
      <c r="F20" s="155"/>
      <c r="G20" s="156"/>
    </row>
    <row r="21" spans="1:7" ht="44.25" customHeight="1">
      <c r="A21" s="62" t="s">
        <v>40</v>
      </c>
      <c r="B21" s="63" t="s">
        <v>122</v>
      </c>
      <c r="C21" s="31" t="s">
        <v>114</v>
      </c>
      <c r="D21" s="31">
        <f>(0.6*0.6)*2</f>
        <v>0.72</v>
      </c>
      <c r="E21" s="105"/>
      <c r="F21" s="105">
        <f>D21*E21</f>
        <v>0</v>
      </c>
      <c r="G21" s="106"/>
    </row>
    <row r="22" spans="1:7" ht="84" customHeight="1">
      <c r="A22" s="62" t="s">
        <v>90</v>
      </c>
      <c r="B22" s="63" t="s">
        <v>33</v>
      </c>
      <c r="C22" s="64"/>
      <c r="D22" s="32"/>
      <c r="E22" s="33"/>
      <c r="F22" s="33"/>
      <c r="G22" s="65"/>
    </row>
    <row r="23" spans="1:7" ht="21" customHeight="1">
      <c r="A23" s="62" t="s">
        <v>123</v>
      </c>
      <c r="B23" s="63" t="s">
        <v>124</v>
      </c>
      <c r="C23" s="31" t="s">
        <v>120</v>
      </c>
      <c r="D23" s="32">
        <f>0.5*0.5*0.4*2</f>
        <v>0.2</v>
      </c>
      <c r="E23" s="33"/>
      <c r="F23" s="33">
        <f>D23*E23</f>
        <v>0</v>
      </c>
      <c r="G23" s="65"/>
    </row>
    <row r="24" spans="1:7" ht="21.75" customHeight="1">
      <c r="A24" s="62" t="s">
        <v>125</v>
      </c>
      <c r="B24" s="63" t="s">
        <v>126</v>
      </c>
      <c r="C24" s="31" t="s">
        <v>120</v>
      </c>
      <c r="D24" s="32">
        <f>0.2*0.2*3.1*2</f>
        <v>0.24800000000000005</v>
      </c>
      <c r="E24" s="33"/>
      <c r="F24" s="33">
        <f>D24*E24</f>
        <v>0</v>
      </c>
      <c r="G24" s="65"/>
    </row>
    <row r="25" spans="1:7" ht="19.5" customHeight="1">
      <c r="A25" s="62" t="s">
        <v>127</v>
      </c>
      <c r="B25" s="63" t="s">
        <v>35</v>
      </c>
      <c r="C25" s="31" t="s">
        <v>120</v>
      </c>
      <c r="D25" s="32">
        <f>((3.19+3.18*3+2.42+0.9*2+2.87*2+3.92+2.1+4.15*4+3.13*3+1.82+1.59)*0.2*0.4)</f>
        <v>4.6488000000000005</v>
      </c>
      <c r="E25" s="33"/>
      <c r="F25" s="33">
        <f>D25*E25</f>
        <v>0</v>
      </c>
      <c r="G25" s="65"/>
    </row>
    <row r="26" spans="1:7" ht="20.25" customHeight="1">
      <c r="A26" s="62" t="s">
        <v>128</v>
      </c>
      <c r="B26" s="63" t="s">
        <v>38</v>
      </c>
      <c r="C26" s="31" t="s">
        <v>120</v>
      </c>
      <c r="D26" s="32">
        <f>(5.26+13.2+9.95+4.12+3.74+11.91+12.27)*0.15</f>
        <v>9.0675000000000008</v>
      </c>
      <c r="E26" s="33"/>
      <c r="F26" s="33">
        <f>D26*E26</f>
        <v>0</v>
      </c>
      <c r="G26" s="65"/>
    </row>
    <row r="27" spans="1:7" ht="13.5" customHeight="1">
      <c r="A27" s="66"/>
      <c r="B27" s="30"/>
      <c r="C27" s="31"/>
      <c r="D27" s="32"/>
      <c r="E27" s="33"/>
      <c r="F27" s="33"/>
      <c r="G27" s="34"/>
    </row>
    <row r="28" spans="1:7">
      <c r="A28" s="101">
        <v>4</v>
      </c>
      <c r="B28" s="330" t="s">
        <v>42</v>
      </c>
      <c r="C28" s="331"/>
      <c r="D28" s="331"/>
      <c r="E28" s="331"/>
      <c r="F28" s="332"/>
      <c r="G28" s="102">
        <f>SUM(F30:F31)</f>
        <v>0</v>
      </c>
    </row>
    <row r="29" spans="1:7">
      <c r="A29" s="75"/>
      <c r="B29" s="76"/>
      <c r="C29" s="31"/>
      <c r="D29" s="32"/>
      <c r="E29" s="33"/>
      <c r="F29" s="33"/>
      <c r="G29" s="65"/>
    </row>
    <row r="30" spans="1:7" ht="69.75" customHeight="1">
      <c r="A30" s="75" t="s">
        <v>43</v>
      </c>
      <c r="B30" s="76" t="s">
        <v>44</v>
      </c>
      <c r="C30" s="31" t="s">
        <v>114</v>
      </c>
      <c r="D30" s="32">
        <f>((7.58+5.77+5.75+1.96+1.6*2+7.73)*2.87-(0.76*2.1+0.6*0.6+0.8*2.1*2))</f>
        <v>86.4953</v>
      </c>
      <c r="E30" s="33"/>
      <c r="F30" s="33">
        <f>+D30*E30</f>
        <v>0</v>
      </c>
      <c r="G30" s="65"/>
    </row>
    <row r="31" spans="1:7" ht="29.25" customHeight="1">
      <c r="A31" s="75" t="s">
        <v>45</v>
      </c>
      <c r="B31" s="76" t="s">
        <v>174</v>
      </c>
      <c r="C31" s="31" t="s">
        <v>114</v>
      </c>
      <c r="D31" s="32">
        <f>(9.34*2.87)</f>
        <v>26.805800000000001</v>
      </c>
      <c r="E31" s="33"/>
      <c r="F31" s="33">
        <f>+D31*E31</f>
        <v>0</v>
      </c>
      <c r="G31" s="65"/>
    </row>
    <row r="32" spans="1:7">
      <c r="A32" s="75"/>
      <c r="B32" s="76"/>
      <c r="C32" s="31"/>
      <c r="D32" s="32"/>
      <c r="E32" s="33"/>
      <c r="F32" s="33"/>
      <c r="G32" s="65"/>
    </row>
    <row r="33" spans="1:7">
      <c r="A33" s="101">
        <v>5</v>
      </c>
      <c r="B33" s="287" t="s">
        <v>175</v>
      </c>
      <c r="C33" s="288"/>
      <c r="D33" s="288"/>
      <c r="E33" s="288"/>
      <c r="F33" s="289"/>
      <c r="G33" s="102">
        <f>+SUM(F35)</f>
        <v>0</v>
      </c>
    </row>
    <row r="34" spans="1:7">
      <c r="A34" s="103"/>
      <c r="B34" s="104"/>
      <c r="C34" s="104"/>
      <c r="D34" s="104"/>
      <c r="E34" s="105"/>
      <c r="F34" s="105"/>
      <c r="G34" s="106"/>
    </row>
    <row r="35" spans="1:7" ht="66.75" customHeight="1">
      <c r="A35" s="75" t="s">
        <v>93</v>
      </c>
      <c r="B35" s="76" t="s">
        <v>131</v>
      </c>
      <c r="C35" s="31" t="s">
        <v>114</v>
      </c>
      <c r="D35" s="32">
        <f>(9.99+7.75+9.34+7.58)*0.4</f>
        <v>13.864000000000003</v>
      </c>
      <c r="E35" s="33"/>
      <c r="F35" s="33">
        <f>D35*E35</f>
        <v>0</v>
      </c>
      <c r="G35" s="65"/>
    </row>
    <row r="36" spans="1:7">
      <c r="A36" s="142"/>
      <c r="B36" s="125"/>
      <c r="C36" s="230"/>
      <c r="D36" s="231"/>
      <c r="E36" s="232"/>
      <c r="F36" s="233"/>
      <c r="G36" s="234"/>
    </row>
    <row r="37" spans="1:7">
      <c r="A37" s="101">
        <v>6</v>
      </c>
      <c r="B37" s="287" t="s">
        <v>139</v>
      </c>
      <c r="C37" s="288"/>
      <c r="D37" s="288"/>
      <c r="E37" s="288"/>
      <c r="F37" s="289"/>
      <c r="G37" s="102">
        <f>+SUM(F40:F42)</f>
        <v>0</v>
      </c>
    </row>
    <row r="38" spans="1:7">
      <c r="A38" s="75"/>
      <c r="B38" s="76"/>
      <c r="C38" s="121"/>
      <c r="D38" s="32"/>
      <c r="E38" s="33"/>
      <c r="F38" s="33"/>
      <c r="G38" s="65"/>
    </row>
    <row r="39" spans="1:7">
      <c r="A39" s="122" t="s">
        <v>66</v>
      </c>
      <c r="B39" s="123" t="s">
        <v>140</v>
      </c>
      <c r="C39" s="31"/>
      <c r="D39" s="32"/>
      <c r="E39" s="33"/>
      <c r="F39" s="33"/>
      <c r="G39" s="65"/>
    </row>
    <row r="40" spans="1:7" ht="44.25" customHeight="1">
      <c r="A40" s="75" t="s">
        <v>141</v>
      </c>
      <c r="B40" s="76" t="s">
        <v>142</v>
      </c>
      <c r="C40" s="31" t="s">
        <v>114</v>
      </c>
      <c r="D40" s="32">
        <f>3.05</f>
        <v>3.05</v>
      </c>
      <c r="E40" s="33"/>
      <c r="F40" s="33">
        <f t="shared" ref="F40:F42" si="1">D40*E40</f>
        <v>0</v>
      </c>
      <c r="G40" s="65"/>
    </row>
    <row r="41" spans="1:7" ht="54" customHeight="1">
      <c r="A41" s="75" t="s">
        <v>143</v>
      </c>
      <c r="B41" s="76" t="s">
        <v>64</v>
      </c>
      <c r="C41" s="31" t="s">
        <v>114</v>
      </c>
      <c r="D41" s="32">
        <f>D40</f>
        <v>3.05</v>
      </c>
      <c r="E41" s="33"/>
      <c r="F41" s="33">
        <f t="shared" si="1"/>
        <v>0</v>
      </c>
      <c r="G41" s="65"/>
    </row>
    <row r="42" spans="1:7" ht="59.25" customHeight="1">
      <c r="A42" s="75" t="s">
        <v>144</v>
      </c>
      <c r="B42" s="76" t="s">
        <v>62</v>
      </c>
      <c r="C42" s="31" t="s">
        <v>114</v>
      </c>
      <c r="D42" s="32">
        <f>(1.51+0.8)*2.1</f>
        <v>4.851</v>
      </c>
      <c r="E42" s="33"/>
      <c r="F42" s="33">
        <f t="shared" si="1"/>
        <v>0</v>
      </c>
      <c r="G42" s="65"/>
    </row>
    <row r="43" spans="1:7">
      <c r="A43" s="142"/>
      <c r="B43" s="125"/>
      <c r="C43" s="230"/>
      <c r="D43" s="231"/>
      <c r="E43" s="232"/>
      <c r="F43" s="233"/>
      <c r="G43" s="234"/>
    </row>
    <row r="44" spans="1:7">
      <c r="A44" s="101">
        <v>7</v>
      </c>
      <c r="B44" s="287" t="s">
        <v>151</v>
      </c>
      <c r="C44" s="288"/>
      <c r="D44" s="288"/>
      <c r="E44" s="288"/>
      <c r="F44" s="289"/>
      <c r="G44" s="102">
        <f>+SUM(F46:F46)</f>
        <v>0</v>
      </c>
    </row>
    <row r="45" spans="1:7" ht="12" customHeight="1">
      <c r="A45" s="75"/>
      <c r="B45" s="76"/>
      <c r="C45" s="121"/>
      <c r="D45" s="32"/>
      <c r="E45" s="33"/>
      <c r="F45" s="33"/>
      <c r="G45" s="65"/>
    </row>
    <row r="46" spans="1:7" ht="59.25" customHeight="1">
      <c r="A46" s="75" t="s">
        <v>70</v>
      </c>
      <c r="B46" s="124" t="s">
        <v>152</v>
      </c>
      <c r="C46" s="31" t="s">
        <v>68</v>
      </c>
      <c r="D46" s="32">
        <v>1</v>
      </c>
      <c r="E46" s="33"/>
      <c r="F46" s="33">
        <f>D46*E46</f>
        <v>0</v>
      </c>
      <c r="G46" s="65"/>
    </row>
    <row r="47" spans="1:7">
      <c r="A47" s="75"/>
      <c r="B47" s="76"/>
      <c r="C47" s="121"/>
      <c r="D47" s="32"/>
      <c r="E47" s="33"/>
      <c r="F47" s="33"/>
      <c r="G47" s="65"/>
    </row>
    <row r="48" spans="1:7">
      <c r="A48" s="101">
        <v>8</v>
      </c>
      <c r="B48" s="287" t="s">
        <v>153</v>
      </c>
      <c r="C48" s="288"/>
      <c r="D48" s="288"/>
      <c r="E48" s="288"/>
      <c r="F48" s="289"/>
      <c r="G48" s="102">
        <f>+SUM(F50)</f>
        <v>0</v>
      </c>
    </row>
    <row r="49" spans="1:8">
      <c r="A49" s="75"/>
      <c r="B49" s="76"/>
      <c r="C49" s="121"/>
      <c r="D49" s="32"/>
      <c r="E49" s="33"/>
      <c r="F49" s="33"/>
      <c r="G49" s="65"/>
    </row>
    <row r="50" spans="1:8" ht="53.25" customHeight="1">
      <c r="A50" s="75" t="s">
        <v>73</v>
      </c>
      <c r="B50" s="76" t="s">
        <v>176</v>
      </c>
      <c r="C50" s="31" t="s">
        <v>68</v>
      </c>
      <c r="D50" s="32">
        <v>1</v>
      </c>
      <c r="E50" s="33"/>
      <c r="F50" s="33">
        <f>D50*E50</f>
        <v>0</v>
      </c>
      <c r="G50" s="65"/>
    </row>
    <row r="51" spans="1:8" ht="16.5" customHeight="1">
      <c r="A51" s="75"/>
      <c r="B51" s="76"/>
      <c r="C51" s="31"/>
      <c r="D51" s="32"/>
      <c r="E51" s="33"/>
      <c r="F51" s="33"/>
      <c r="G51" s="65"/>
    </row>
    <row r="52" spans="1:8" ht="16.5" customHeight="1">
      <c r="A52" s="101">
        <v>9</v>
      </c>
      <c r="B52" s="287" t="s">
        <v>72</v>
      </c>
      <c r="C52" s="288"/>
      <c r="D52" s="288"/>
      <c r="E52" s="288"/>
      <c r="F52" s="289"/>
      <c r="G52" s="102">
        <f>+SUM(F90)</f>
        <v>0</v>
      </c>
    </row>
    <row r="53" spans="1:8" ht="16.5" customHeight="1">
      <c r="A53" s="75"/>
      <c r="B53" s="76"/>
      <c r="C53" s="31"/>
      <c r="D53" s="32"/>
      <c r="E53" s="33"/>
      <c r="F53" s="33"/>
      <c r="G53" s="65"/>
    </row>
    <row r="54" spans="1:8" ht="69" customHeight="1">
      <c r="A54" s="75" t="s">
        <v>76</v>
      </c>
      <c r="B54" s="125" t="s">
        <v>177</v>
      </c>
      <c r="C54" s="31" t="s">
        <v>68</v>
      </c>
      <c r="D54" s="32">
        <v>1</v>
      </c>
      <c r="E54" s="33"/>
      <c r="F54" s="33">
        <f>E54</f>
        <v>0</v>
      </c>
      <c r="G54" s="65"/>
    </row>
    <row r="55" spans="1:8">
      <c r="A55" s="75"/>
      <c r="B55" s="76"/>
      <c r="C55" s="31"/>
      <c r="D55" s="32"/>
      <c r="E55" s="33"/>
      <c r="F55" s="33"/>
      <c r="G55" s="65"/>
    </row>
    <row r="56" spans="1:8">
      <c r="A56" s="101">
        <v>10</v>
      </c>
      <c r="B56" s="287" t="s">
        <v>158</v>
      </c>
      <c r="C56" s="288"/>
      <c r="D56" s="288"/>
      <c r="E56" s="288"/>
      <c r="F56" s="289"/>
      <c r="G56" s="102">
        <f>+F58</f>
        <v>0</v>
      </c>
    </row>
    <row r="57" spans="1:8">
      <c r="A57" s="75"/>
      <c r="B57" s="76"/>
      <c r="C57" s="31"/>
      <c r="D57" s="32"/>
      <c r="E57" s="33"/>
      <c r="F57" s="33"/>
      <c r="G57" s="65"/>
    </row>
    <row r="58" spans="1:8" ht="64.5" customHeight="1">
      <c r="A58" s="75" t="s">
        <v>80</v>
      </c>
      <c r="B58" s="125" t="s">
        <v>159</v>
      </c>
      <c r="C58" s="31" t="s">
        <v>68</v>
      </c>
      <c r="D58" s="32">
        <v>1</v>
      </c>
      <c r="E58" s="33"/>
      <c r="F58" s="33">
        <f>+D58*E58</f>
        <v>0</v>
      </c>
      <c r="G58" s="65"/>
    </row>
    <row r="59" spans="1:8" ht="57" customHeight="1">
      <c r="A59" s="75" t="s">
        <v>160</v>
      </c>
      <c r="B59" s="124" t="s">
        <v>62</v>
      </c>
      <c r="C59" s="31" t="s">
        <v>114</v>
      </c>
      <c r="D59" s="32">
        <f>(1.8*0.6)</f>
        <v>1.08</v>
      </c>
      <c r="E59" s="33"/>
      <c r="F59" s="33">
        <f t="shared" ref="F59" si="2">D59*E59</f>
        <v>0</v>
      </c>
      <c r="G59" s="65"/>
    </row>
    <row r="60" spans="1:8" ht="16.5" customHeight="1">
      <c r="A60" s="75"/>
      <c r="B60" s="76"/>
      <c r="C60" s="31"/>
      <c r="D60" s="32"/>
      <c r="E60" s="33"/>
      <c r="F60" s="33"/>
      <c r="G60" s="65"/>
    </row>
    <row r="61" spans="1:8" ht="16.5" customHeight="1">
      <c r="A61" s="126">
        <v>11</v>
      </c>
      <c r="B61" s="306" t="s">
        <v>161</v>
      </c>
      <c r="C61" s="306"/>
      <c r="D61" s="306"/>
      <c r="E61" s="306"/>
      <c r="F61" s="306"/>
      <c r="G61" s="127">
        <f>+SUM(F65)</f>
        <v>0</v>
      </c>
    </row>
    <row r="62" spans="1:8" ht="16.5" customHeight="1">
      <c r="A62" s="128"/>
      <c r="B62" s="129"/>
      <c r="C62" s="130"/>
      <c r="D62" s="131"/>
      <c r="E62" s="132"/>
      <c r="F62" s="132"/>
      <c r="G62" s="133"/>
    </row>
    <row r="63" spans="1:8" ht="60" customHeight="1">
      <c r="A63" s="225" t="s">
        <v>83</v>
      </c>
      <c r="B63" s="124" t="s">
        <v>178</v>
      </c>
      <c r="C63" s="226" t="s">
        <v>85</v>
      </c>
      <c r="D63" s="227">
        <v>3</v>
      </c>
      <c r="E63" s="228"/>
      <c r="F63" s="33">
        <f t="shared" ref="F63:F64" si="3">D63*E63</f>
        <v>0</v>
      </c>
      <c r="G63" s="235"/>
      <c r="H63" s="236"/>
    </row>
    <row r="64" spans="1:8" ht="54" customHeight="1">
      <c r="A64" s="225" t="s">
        <v>163</v>
      </c>
      <c r="B64" s="124" t="s">
        <v>179</v>
      </c>
      <c r="C64" s="226" t="s">
        <v>85</v>
      </c>
      <c r="D64" s="227">
        <v>1</v>
      </c>
      <c r="E64" s="228"/>
      <c r="F64" s="33">
        <f t="shared" si="3"/>
        <v>0</v>
      </c>
      <c r="G64" s="235"/>
      <c r="H64" s="236"/>
    </row>
    <row r="65" spans="1:7" ht="56.25" customHeight="1">
      <c r="A65" s="225" t="s">
        <v>180</v>
      </c>
      <c r="B65" s="124" t="s">
        <v>181</v>
      </c>
      <c r="C65" s="31" t="s">
        <v>85</v>
      </c>
      <c r="D65" s="32">
        <v>1</v>
      </c>
      <c r="E65" s="33"/>
      <c r="F65" s="33">
        <f>D65*E65</f>
        <v>0</v>
      </c>
      <c r="G65" s="65"/>
    </row>
    <row r="66" spans="1:7" ht="56.25" customHeight="1">
      <c r="A66" s="225" t="s">
        <v>182</v>
      </c>
      <c r="B66" s="124" t="s">
        <v>183</v>
      </c>
      <c r="C66" s="31" t="s">
        <v>85</v>
      </c>
      <c r="D66" s="32">
        <v>1</v>
      </c>
      <c r="E66" s="33"/>
      <c r="F66" s="33">
        <f>D66*E66</f>
        <v>0</v>
      </c>
      <c r="G66" s="65"/>
    </row>
    <row r="67" spans="1:7" ht="16.5" customHeight="1">
      <c r="A67" s="135"/>
      <c r="B67" s="135"/>
      <c r="C67" s="135"/>
      <c r="D67" s="135"/>
      <c r="E67" s="136"/>
      <c r="F67" s="136"/>
      <c r="G67" s="137"/>
    </row>
    <row r="68" spans="1:7" ht="16.5" customHeight="1">
      <c r="A68" s="126">
        <v>12</v>
      </c>
      <c r="B68" s="306" t="s">
        <v>184</v>
      </c>
      <c r="C68" s="306"/>
      <c r="D68" s="306"/>
      <c r="E68" s="306"/>
      <c r="F68" s="306"/>
      <c r="G68" s="127">
        <f>+SUM(F70:F71)</f>
        <v>0</v>
      </c>
    </row>
    <row r="69" spans="1:7" ht="16.5" customHeight="1">
      <c r="A69" s="128"/>
      <c r="B69" s="129"/>
      <c r="C69" s="130"/>
      <c r="D69" s="131"/>
      <c r="E69" s="132"/>
      <c r="F69" s="132"/>
      <c r="G69" s="133"/>
    </row>
    <row r="70" spans="1:7" ht="62.25" customHeight="1">
      <c r="A70" s="134" t="s">
        <v>110</v>
      </c>
      <c r="B70" s="124" t="s">
        <v>185</v>
      </c>
      <c r="C70" s="31" t="s">
        <v>114</v>
      </c>
      <c r="D70" s="32">
        <f>9.34*1</f>
        <v>9.34</v>
      </c>
      <c r="E70" s="33"/>
      <c r="F70" s="33">
        <f>D70*E70</f>
        <v>0</v>
      </c>
      <c r="G70" s="65"/>
    </row>
    <row r="71" spans="1:7" ht="56.25" customHeight="1">
      <c r="A71" s="134" t="s">
        <v>111</v>
      </c>
      <c r="B71" s="76" t="s">
        <v>186</v>
      </c>
      <c r="C71" s="31" t="s">
        <v>85</v>
      </c>
      <c r="D71" s="32">
        <v>1</v>
      </c>
      <c r="E71" s="33"/>
      <c r="F71" s="33">
        <f>D71*E71</f>
        <v>0</v>
      </c>
      <c r="G71" s="65"/>
    </row>
    <row r="72" spans="1:7" ht="21.75" customHeight="1">
      <c r="A72" s="160"/>
      <c r="B72" s="86"/>
      <c r="C72" s="87"/>
      <c r="D72" s="88"/>
      <c r="E72" s="89"/>
      <c r="F72" s="89"/>
      <c r="G72" s="90"/>
    </row>
    <row r="73" spans="1:7" ht="21.75" customHeight="1">
      <c r="A73" s="101">
        <v>13</v>
      </c>
      <c r="B73" s="287" t="s">
        <v>187</v>
      </c>
      <c r="C73" s="288"/>
      <c r="D73" s="288"/>
      <c r="E73" s="288"/>
      <c r="F73" s="289"/>
      <c r="G73" s="102">
        <f>SUM(F79:F79)</f>
        <v>0</v>
      </c>
    </row>
    <row r="74" spans="1:7" ht="18.75" customHeight="1">
      <c r="A74" s="157"/>
      <c r="B74" s="129"/>
      <c r="C74" s="130"/>
      <c r="D74" s="131"/>
      <c r="E74" s="132"/>
      <c r="F74" s="132"/>
      <c r="G74" s="133"/>
    </row>
    <row r="75" spans="1:7" ht="44.25" customHeight="1">
      <c r="A75" s="158" t="s">
        <v>188</v>
      </c>
      <c r="B75" s="76" t="s">
        <v>189</v>
      </c>
      <c r="C75" s="31" t="s">
        <v>85</v>
      </c>
      <c r="D75" s="32">
        <v>1</v>
      </c>
      <c r="E75" s="49"/>
      <c r="F75" s="49">
        <f>D75*E75</f>
        <v>0</v>
      </c>
      <c r="G75" s="159"/>
    </row>
    <row r="76" spans="1:7" ht="42" customHeight="1">
      <c r="A76" s="158" t="s">
        <v>190</v>
      </c>
      <c r="B76" s="76" t="s">
        <v>189</v>
      </c>
      <c r="C76" s="31" t="s">
        <v>85</v>
      </c>
      <c r="D76" s="32">
        <v>2</v>
      </c>
      <c r="E76" s="49"/>
      <c r="F76" s="49">
        <f>D76*E76</f>
        <v>0</v>
      </c>
      <c r="G76" s="159"/>
    </row>
    <row r="77" spans="1:7" ht="40.5" customHeight="1">
      <c r="A77" s="158" t="s">
        <v>191</v>
      </c>
      <c r="B77" s="76" t="s">
        <v>192</v>
      </c>
      <c r="C77" s="31" t="s">
        <v>85</v>
      </c>
      <c r="D77" s="32">
        <v>1</v>
      </c>
      <c r="E77" s="49"/>
      <c r="F77" s="49">
        <f>D77*E77</f>
        <v>0</v>
      </c>
      <c r="G77" s="159"/>
    </row>
    <row r="78" spans="1:7" ht="40.5" customHeight="1">
      <c r="A78" s="158" t="s">
        <v>193</v>
      </c>
      <c r="B78" s="76" t="s">
        <v>194</v>
      </c>
      <c r="C78" s="31" t="s">
        <v>85</v>
      </c>
      <c r="D78" s="32">
        <v>1</v>
      </c>
      <c r="E78" s="49"/>
      <c r="F78" s="49">
        <f>D78*E78</f>
        <v>0</v>
      </c>
      <c r="G78" s="159"/>
    </row>
    <row r="79" spans="1:7" ht="52.5" customHeight="1">
      <c r="A79" s="158" t="s">
        <v>195</v>
      </c>
      <c r="B79" s="76" t="s">
        <v>196</v>
      </c>
      <c r="C79" s="31" t="s">
        <v>85</v>
      </c>
      <c r="D79" s="32">
        <v>1</v>
      </c>
      <c r="E79" s="49"/>
      <c r="F79" s="49">
        <f>D79*E79</f>
        <v>0</v>
      </c>
      <c r="G79" s="159"/>
    </row>
    <row r="80" spans="1:7" ht="15.75" customHeight="1">
      <c r="A80" s="237"/>
      <c r="B80" s="86"/>
      <c r="C80" s="87"/>
      <c r="D80" s="88"/>
      <c r="E80" s="232"/>
      <c r="F80" s="232"/>
      <c r="G80" s="65"/>
    </row>
    <row r="81" spans="1:7" ht="17.25" customHeight="1">
      <c r="A81" s="238">
        <v>14</v>
      </c>
      <c r="B81" s="333" t="s">
        <v>197</v>
      </c>
      <c r="C81" s="334"/>
      <c r="D81" s="334"/>
      <c r="E81" s="334"/>
      <c r="F81" s="335"/>
      <c r="G81" s="102">
        <f>+SUM(F83)</f>
        <v>0</v>
      </c>
    </row>
    <row r="82" spans="1:7" ht="17.25" customHeight="1">
      <c r="A82" s="134"/>
      <c r="B82" s="76"/>
      <c r="C82" s="31"/>
      <c r="D82" s="229"/>
      <c r="E82" s="76"/>
      <c r="F82" s="33"/>
      <c r="G82" s="145"/>
    </row>
    <row r="83" spans="1:7" ht="99.75" customHeight="1">
      <c r="A83" s="134" t="s">
        <v>198</v>
      </c>
      <c r="B83" s="76" t="s">
        <v>81</v>
      </c>
      <c r="C83" s="31" t="s">
        <v>68</v>
      </c>
      <c r="D83" s="229"/>
      <c r="E83" s="76"/>
      <c r="F83" s="33">
        <f>D83*E83</f>
        <v>0</v>
      </c>
      <c r="G83" s="145"/>
    </row>
    <row r="84" spans="1:7" ht="15" thickBot="1">
      <c r="A84" s="146"/>
      <c r="B84" s="147"/>
      <c r="C84" s="148"/>
      <c r="D84" s="149"/>
      <c r="E84" s="136"/>
      <c r="F84" s="136"/>
      <c r="G84" s="137"/>
    </row>
    <row r="85" spans="1:7">
      <c r="A85" s="150"/>
      <c r="B85" s="298"/>
      <c r="C85" s="299"/>
      <c r="D85" s="299"/>
      <c r="E85" s="299"/>
      <c r="F85" s="300"/>
      <c r="G85" s="301">
        <f>+SUM(G10:G84)</f>
        <v>0</v>
      </c>
    </row>
    <row r="86" spans="1:7" ht="15" thickBot="1">
      <c r="A86" s="151"/>
      <c r="B86" s="303" t="s">
        <v>86</v>
      </c>
      <c r="C86" s="304"/>
      <c r="D86" s="304"/>
      <c r="E86" s="304"/>
      <c r="F86" s="305"/>
      <c r="G86" s="302"/>
    </row>
  </sheetData>
  <mergeCells count="26">
    <mergeCell ref="B68:F68"/>
    <mergeCell ref="B73:F73"/>
    <mergeCell ref="B81:F81"/>
    <mergeCell ref="B85:F85"/>
    <mergeCell ref="G85:G86"/>
    <mergeCell ref="B86:F86"/>
    <mergeCell ref="B33:F33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5:F15"/>
    <mergeCell ref="B19:F19"/>
    <mergeCell ref="B28:F28"/>
    <mergeCell ref="B61:F61"/>
    <mergeCell ref="B37:F37"/>
    <mergeCell ref="B44:F44"/>
    <mergeCell ref="B48:F48"/>
    <mergeCell ref="B52:F52"/>
    <mergeCell ref="B56:F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BreakPreview" topLeftCell="A4" zoomScaleNormal="100" zoomScaleSheetLayoutView="100" workbookViewId="0">
      <selection activeCell="E12" sqref="E12"/>
    </sheetView>
  </sheetViews>
  <sheetFormatPr defaultRowHeight="14.4"/>
  <cols>
    <col min="1" max="1" width="9" style="161" bestFit="1" customWidth="1"/>
    <col min="2" max="2" width="39.5546875" style="162" customWidth="1"/>
    <col min="3" max="3" width="4.5546875" style="162" customWidth="1"/>
    <col min="4" max="4" width="6.5546875" style="162" customWidth="1"/>
    <col min="5" max="5" width="11.44140625" style="163" customWidth="1"/>
    <col min="6" max="6" width="12.5546875" style="163" customWidth="1"/>
    <col min="7" max="7" width="16.44140625" style="162" customWidth="1"/>
  </cols>
  <sheetData>
    <row r="1" spans="1:7" ht="8.1" customHeight="1"/>
    <row r="2" spans="1:7">
      <c r="A2" s="164" t="s">
        <v>9</v>
      </c>
      <c r="B2" s="164"/>
      <c r="C2" s="164"/>
      <c r="D2" s="164"/>
      <c r="E2" s="165"/>
      <c r="F2" s="166"/>
      <c r="G2" s="164"/>
    </row>
    <row r="3" spans="1:7">
      <c r="A3" s="167" t="s">
        <v>10</v>
      </c>
      <c r="B3" s="164" t="s">
        <v>11</v>
      </c>
      <c r="C3" s="167"/>
      <c r="E3" s="168"/>
      <c r="F3" s="168"/>
      <c r="G3" s="167"/>
    </row>
    <row r="4" spans="1:7">
      <c r="A4" s="167" t="s">
        <v>12</v>
      </c>
      <c r="B4" s="164"/>
      <c r="C4" s="167"/>
      <c r="D4" s="167"/>
      <c r="E4" s="165"/>
      <c r="F4" s="318"/>
      <c r="G4" s="318"/>
    </row>
    <row r="5" spans="1:7">
      <c r="A5" s="167" t="s">
        <v>13</v>
      </c>
      <c r="B5" s="164" t="s">
        <v>87</v>
      </c>
      <c r="C5" s="167"/>
      <c r="D5" s="167"/>
      <c r="E5" s="165"/>
      <c r="F5" s="318" t="s">
        <v>15</v>
      </c>
      <c r="G5" s="318"/>
    </row>
    <row r="6" spans="1:7" ht="15" thickBot="1">
      <c r="A6" s="167"/>
      <c r="B6" s="164"/>
      <c r="C6" s="167"/>
      <c r="D6" s="167"/>
      <c r="E6" s="169"/>
      <c r="F6" s="169"/>
      <c r="G6" s="167"/>
    </row>
    <row r="7" spans="1:7" ht="15" thickBot="1">
      <c r="A7" s="319" t="s">
        <v>16</v>
      </c>
      <c r="B7" s="319" t="s">
        <v>17</v>
      </c>
      <c r="C7" s="319" t="s">
        <v>18</v>
      </c>
      <c r="D7" s="321" t="s">
        <v>19</v>
      </c>
      <c r="E7" s="323" t="s">
        <v>20</v>
      </c>
      <c r="F7" s="325" t="s">
        <v>21</v>
      </c>
      <c r="G7" s="326"/>
    </row>
    <row r="8" spans="1:7" ht="15" thickBot="1">
      <c r="A8" s="320"/>
      <c r="B8" s="320" t="s">
        <v>22</v>
      </c>
      <c r="C8" s="320" t="s">
        <v>23</v>
      </c>
      <c r="D8" s="322" t="s">
        <v>24</v>
      </c>
      <c r="E8" s="324"/>
      <c r="F8" s="170" t="s">
        <v>25</v>
      </c>
      <c r="G8" s="171" t="s">
        <v>26</v>
      </c>
    </row>
    <row r="9" spans="1:7" ht="12" customHeight="1">
      <c r="A9" s="327"/>
      <c r="B9" s="328"/>
      <c r="C9" s="328"/>
      <c r="D9" s="328"/>
      <c r="E9" s="328"/>
      <c r="F9" s="328"/>
      <c r="G9" s="329"/>
    </row>
    <row r="10" spans="1:7">
      <c r="A10" s="15">
        <v>1</v>
      </c>
      <c r="B10" s="307" t="s">
        <v>27</v>
      </c>
      <c r="C10" s="308"/>
      <c r="D10" s="308"/>
      <c r="E10" s="308"/>
      <c r="F10" s="309"/>
      <c r="G10" s="2">
        <f>+SUM(F12:F13)</f>
        <v>0</v>
      </c>
    </row>
    <row r="11" spans="1:7" ht="6.9" customHeight="1">
      <c r="A11" s="172"/>
      <c r="B11" s="173"/>
      <c r="C11" s="173"/>
      <c r="D11" s="173"/>
      <c r="E11" s="174"/>
      <c r="F11" s="174"/>
      <c r="G11" s="175"/>
    </row>
    <row r="12" spans="1:7" ht="55.2">
      <c r="A12" s="176" t="s">
        <v>28</v>
      </c>
      <c r="B12" s="177" t="s">
        <v>29</v>
      </c>
      <c r="C12" s="10" t="s">
        <v>30</v>
      </c>
      <c r="D12" s="13">
        <f>31.6+23.5</f>
        <v>55.1</v>
      </c>
      <c r="E12" s="178"/>
      <c r="F12" s="178">
        <f>D12*E12</f>
        <v>0</v>
      </c>
      <c r="G12" s="179"/>
    </row>
    <row r="13" spans="1:7" ht="55.2">
      <c r="A13" s="176" t="s">
        <v>88</v>
      </c>
      <c r="B13" s="177" t="s">
        <v>89</v>
      </c>
      <c r="C13" s="10" t="s">
        <v>30</v>
      </c>
      <c r="D13" s="13">
        <f>0.74*3+0.78*3+(1.1+1.19)*2.5</f>
        <v>10.285</v>
      </c>
      <c r="E13" s="178"/>
      <c r="F13" s="178">
        <f>D13*E13</f>
        <v>0</v>
      </c>
      <c r="G13" s="179"/>
    </row>
    <row r="14" spans="1:7" ht="6.9" customHeight="1">
      <c r="A14" s="180"/>
      <c r="B14" s="181"/>
      <c r="C14" s="181"/>
      <c r="D14" s="181"/>
      <c r="E14" s="182"/>
      <c r="F14" s="178"/>
      <c r="G14" s="183"/>
    </row>
    <row r="15" spans="1:7">
      <c r="A15" s="15">
        <v>2</v>
      </c>
      <c r="B15" s="307" t="s">
        <v>31</v>
      </c>
      <c r="C15" s="308"/>
      <c r="D15" s="308"/>
      <c r="E15" s="308"/>
      <c r="F15" s="309"/>
      <c r="G15" s="2">
        <f>SUM(F18:F19)</f>
        <v>0</v>
      </c>
    </row>
    <row r="16" spans="1:7">
      <c r="A16" s="172"/>
      <c r="B16" s="173"/>
      <c r="C16" s="173"/>
      <c r="D16" s="173"/>
      <c r="E16" s="174"/>
      <c r="F16" s="174"/>
      <c r="G16" s="175"/>
    </row>
    <row r="17" spans="1:7" ht="96.6">
      <c r="A17" s="176" t="s">
        <v>32</v>
      </c>
      <c r="B17" s="184" t="s">
        <v>33</v>
      </c>
      <c r="C17" s="185"/>
      <c r="D17" s="13"/>
      <c r="E17" s="178"/>
      <c r="F17" s="178"/>
      <c r="G17" s="186"/>
    </row>
    <row r="18" spans="1:7" ht="16.8">
      <c r="A18" s="176" t="s">
        <v>34</v>
      </c>
      <c r="B18" s="184" t="s">
        <v>35</v>
      </c>
      <c r="C18" s="10" t="s">
        <v>36</v>
      </c>
      <c r="D18" s="13">
        <f>0.2*0.4*7.5+0.2*0.4*8.3*3+0.2*0.4*3.2*2+0.2*0.4*2.45*3</f>
        <v>3.6920000000000006</v>
      </c>
      <c r="E18" s="178"/>
      <c r="F18" s="178">
        <f t="shared" ref="F18:F19" si="0">D18*E18</f>
        <v>0</v>
      </c>
      <c r="G18" s="186"/>
    </row>
    <row r="19" spans="1:7" ht="16.8">
      <c r="A19" s="176" t="s">
        <v>37</v>
      </c>
      <c r="B19" s="184" t="s">
        <v>38</v>
      </c>
      <c r="C19" s="10" t="s">
        <v>36</v>
      </c>
      <c r="D19" s="13">
        <f>42.26*0.15</f>
        <v>6.3389999999999995</v>
      </c>
      <c r="E19" s="178"/>
      <c r="F19" s="178">
        <f t="shared" si="0"/>
        <v>0</v>
      </c>
      <c r="G19" s="186"/>
    </row>
    <row r="20" spans="1:7">
      <c r="A20" s="176"/>
      <c r="B20" s="184"/>
      <c r="C20" s="10"/>
      <c r="D20" s="13"/>
      <c r="E20" s="178"/>
      <c r="F20" s="178"/>
      <c r="G20" s="186"/>
    </row>
    <row r="21" spans="1:7">
      <c r="A21" s="15">
        <v>3</v>
      </c>
      <c r="B21" s="307" t="s">
        <v>39</v>
      </c>
      <c r="C21" s="308"/>
      <c r="D21" s="308"/>
      <c r="E21" s="308"/>
      <c r="F21" s="309"/>
      <c r="G21" s="2">
        <f>+SUM(F23:F24)</f>
        <v>0</v>
      </c>
    </row>
    <row r="22" spans="1:7">
      <c r="A22" s="172"/>
      <c r="B22" s="173"/>
      <c r="C22" s="173"/>
      <c r="D22" s="173"/>
      <c r="E22" s="174"/>
      <c r="F22" s="174"/>
      <c r="G22" s="175"/>
    </row>
    <row r="23" spans="1:7" ht="69">
      <c r="A23" s="190" t="s">
        <v>40</v>
      </c>
      <c r="B23" s="9" t="s">
        <v>41</v>
      </c>
      <c r="C23" s="10" t="s">
        <v>30</v>
      </c>
      <c r="D23" s="13">
        <f>0.78*3</f>
        <v>2.34</v>
      </c>
      <c r="E23" s="178"/>
      <c r="F23" s="178">
        <f t="shared" ref="F23:F24" si="1">D23*E23</f>
        <v>0</v>
      </c>
      <c r="G23" s="186"/>
    </row>
    <row r="24" spans="1:7" ht="85.2">
      <c r="A24" s="190" t="s">
        <v>90</v>
      </c>
      <c r="B24" s="9" t="s">
        <v>91</v>
      </c>
      <c r="C24" s="10" t="s">
        <v>30</v>
      </c>
      <c r="D24" s="13" t="s">
        <v>92</v>
      </c>
      <c r="E24" s="13"/>
      <c r="F24" s="178">
        <f t="shared" si="1"/>
        <v>0</v>
      </c>
      <c r="G24" s="189"/>
    </row>
    <row r="25" spans="1:7" ht="6.9" customHeight="1">
      <c r="A25" s="217"/>
      <c r="B25" s="218"/>
      <c r="C25" s="219"/>
      <c r="D25" s="219"/>
      <c r="E25" s="220"/>
      <c r="F25" s="221"/>
      <c r="G25" s="222"/>
    </row>
    <row r="26" spans="1:7">
      <c r="A26" s="15">
        <v>4</v>
      </c>
      <c r="B26" s="307" t="s">
        <v>42</v>
      </c>
      <c r="C26" s="308"/>
      <c r="D26" s="308"/>
      <c r="E26" s="308"/>
      <c r="F26" s="309"/>
      <c r="G26" s="2">
        <f>SUM(F28:F30)</f>
        <v>0</v>
      </c>
    </row>
    <row r="27" spans="1:7">
      <c r="A27" s="190"/>
      <c r="B27" s="9"/>
      <c r="C27" s="10"/>
      <c r="D27" s="13"/>
      <c r="E27" s="178"/>
      <c r="F27" s="178"/>
      <c r="G27" s="186"/>
    </row>
    <row r="28" spans="1:7" ht="82.8">
      <c r="A28" s="190" t="s">
        <v>43</v>
      </c>
      <c r="B28" s="9" t="s">
        <v>44</v>
      </c>
      <c r="C28" s="10" t="s">
        <v>30</v>
      </c>
      <c r="D28" s="13">
        <f>3.17*3+1.89*3</f>
        <v>15.18</v>
      </c>
      <c r="E28" s="178"/>
      <c r="F28" s="178">
        <f>+D28*E28</f>
        <v>0</v>
      </c>
      <c r="G28" s="186"/>
    </row>
    <row r="29" spans="1:7" ht="27.6">
      <c r="A29" s="190" t="s">
        <v>45</v>
      </c>
      <c r="B29" s="191" t="s">
        <v>46</v>
      </c>
      <c r="C29" s="10" t="s">
        <v>30</v>
      </c>
      <c r="D29" s="13">
        <f>7.5*3+8.3*3*5+3.2*2*3+2.45*3*6+D28</f>
        <v>225.48</v>
      </c>
      <c r="E29" s="178"/>
      <c r="F29" s="178">
        <f>+D29*E29</f>
        <v>0</v>
      </c>
      <c r="G29" s="186"/>
    </row>
    <row r="30" spans="1:7" ht="27.6">
      <c r="A30" s="190" t="s">
        <v>47</v>
      </c>
      <c r="B30" s="9" t="s">
        <v>48</v>
      </c>
      <c r="C30" s="10" t="s">
        <v>30</v>
      </c>
      <c r="D30" s="13">
        <v>42.26</v>
      </c>
      <c r="E30" s="178"/>
      <c r="F30" s="178">
        <f>+D30*E30</f>
        <v>0</v>
      </c>
      <c r="G30" s="186"/>
    </row>
    <row r="31" spans="1:7">
      <c r="A31" s="190"/>
      <c r="B31" s="9"/>
      <c r="C31" s="10"/>
      <c r="D31" s="13"/>
      <c r="E31" s="178"/>
      <c r="F31" s="178"/>
      <c r="G31" s="186"/>
    </row>
    <row r="32" spans="1:7">
      <c r="A32" s="15">
        <v>5</v>
      </c>
      <c r="B32" s="307" t="s">
        <v>51</v>
      </c>
      <c r="C32" s="308"/>
      <c r="D32" s="308"/>
      <c r="E32" s="308"/>
      <c r="F32" s="309"/>
      <c r="G32" s="2">
        <f>+SUM(F35:F39)</f>
        <v>0</v>
      </c>
    </row>
    <row r="33" spans="1:7" ht="6.9" customHeight="1">
      <c r="A33" s="190"/>
      <c r="B33" s="9"/>
      <c r="C33" s="192"/>
      <c r="D33" s="13"/>
      <c r="E33" s="178"/>
      <c r="F33" s="178"/>
      <c r="G33" s="186"/>
    </row>
    <row r="34" spans="1:7">
      <c r="A34" s="190" t="s">
        <v>93</v>
      </c>
      <c r="B34" s="193" t="s">
        <v>53</v>
      </c>
      <c r="C34" s="192"/>
      <c r="D34" s="13"/>
      <c r="E34" s="178"/>
      <c r="F34" s="178"/>
      <c r="G34" s="186"/>
    </row>
    <row r="35" spans="1:7" ht="69">
      <c r="A35" s="190" t="s">
        <v>54</v>
      </c>
      <c r="B35" s="9" t="s">
        <v>55</v>
      </c>
      <c r="C35" s="10" t="s">
        <v>56</v>
      </c>
      <c r="D35" s="13">
        <v>1</v>
      </c>
      <c r="E35" s="178"/>
      <c r="F35" s="178">
        <f>+D35*E35</f>
        <v>0</v>
      </c>
      <c r="G35" s="186"/>
    </row>
    <row r="36" spans="1:7" ht="69">
      <c r="A36" s="190" t="s">
        <v>57</v>
      </c>
      <c r="B36" s="9" t="s">
        <v>58</v>
      </c>
      <c r="C36" s="10" t="s">
        <v>56</v>
      </c>
      <c r="D36" s="13">
        <v>1</v>
      </c>
      <c r="E36" s="178"/>
      <c r="F36" s="178">
        <f t="shared" ref="F36:F39" si="2">+D36*E36</f>
        <v>0</v>
      </c>
      <c r="G36" s="186"/>
    </row>
    <row r="37" spans="1:7" ht="69">
      <c r="A37" s="190" t="s">
        <v>59</v>
      </c>
      <c r="B37" s="9" t="s">
        <v>60</v>
      </c>
      <c r="C37" s="10" t="s">
        <v>56</v>
      </c>
      <c r="D37" s="13">
        <v>1</v>
      </c>
      <c r="E37" s="178"/>
      <c r="F37" s="178">
        <f t="shared" si="2"/>
        <v>0</v>
      </c>
      <c r="G37" s="186"/>
    </row>
    <row r="38" spans="1:7" ht="55.2">
      <c r="A38" s="190" t="s">
        <v>61</v>
      </c>
      <c r="B38" s="194" t="s">
        <v>62</v>
      </c>
      <c r="C38" s="10" t="s">
        <v>30</v>
      </c>
      <c r="D38" s="111">
        <f>+(0.8+0.8)*2.1</f>
        <v>3.3600000000000003</v>
      </c>
      <c r="E38" s="112"/>
      <c r="F38" s="178">
        <f t="shared" si="2"/>
        <v>0</v>
      </c>
      <c r="G38" s="195"/>
    </row>
    <row r="39" spans="1:7" ht="55.2">
      <c r="A39" s="190" t="s">
        <v>63</v>
      </c>
      <c r="B39" s="194" t="s">
        <v>64</v>
      </c>
      <c r="C39" s="10" t="s">
        <v>30</v>
      </c>
      <c r="D39" s="111">
        <v>2.61</v>
      </c>
      <c r="E39" s="112"/>
      <c r="F39" s="178">
        <f t="shared" si="2"/>
        <v>0</v>
      </c>
      <c r="G39" s="195"/>
    </row>
    <row r="40" spans="1:7" ht="6.9" customHeight="1">
      <c r="A40" s="196"/>
      <c r="B40" s="191"/>
      <c r="C40" s="110"/>
      <c r="D40" s="111"/>
      <c r="E40" s="112"/>
      <c r="F40" s="113"/>
      <c r="G40" s="195"/>
    </row>
    <row r="41" spans="1:7">
      <c r="A41" s="15">
        <v>6</v>
      </c>
      <c r="B41" s="307" t="s">
        <v>65</v>
      </c>
      <c r="C41" s="308"/>
      <c r="D41" s="308"/>
      <c r="E41" s="308"/>
      <c r="F41" s="309"/>
      <c r="G41" s="2">
        <f>+SUM(F43)</f>
        <v>0</v>
      </c>
    </row>
    <row r="42" spans="1:7">
      <c r="A42" s="190"/>
      <c r="B42" s="9"/>
      <c r="C42" s="192"/>
      <c r="D42" s="13"/>
      <c r="E42" s="178"/>
      <c r="F42" s="178"/>
      <c r="G42" s="186"/>
    </row>
    <row r="43" spans="1:7" ht="55.2">
      <c r="A43" s="190" t="s">
        <v>66</v>
      </c>
      <c r="B43" s="9" t="s">
        <v>67</v>
      </c>
      <c r="C43" s="10" t="s">
        <v>68</v>
      </c>
      <c r="D43" s="13">
        <v>1</v>
      </c>
      <c r="E43" s="178"/>
      <c r="F43" s="178">
        <f t="shared" ref="F43" si="3">D43*E43</f>
        <v>0</v>
      </c>
      <c r="G43" s="186"/>
    </row>
    <row r="44" spans="1:7">
      <c r="A44" s="190"/>
      <c r="B44" s="9"/>
      <c r="C44" s="10"/>
      <c r="D44" s="13"/>
      <c r="E44" s="178"/>
      <c r="F44" s="178"/>
      <c r="G44" s="186"/>
    </row>
    <row r="45" spans="1:7">
      <c r="A45" s="15">
        <v>7</v>
      </c>
      <c r="B45" s="307" t="s">
        <v>69</v>
      </c>
      <c r="C45" s="308"/>
      <c r="D45" s="308"/>
      <c r="E45" s="308"/>
      <c r="F45" s="309"/>
      <c r="G45" s="2">
        <f>SUM(F47:F47)</f>
        <v>0</v>
      </c>
    </row>
    <row r="46" spans="1:7">
      <c r="A46" s="196"/>
      <c r="B46" s="191"/>
      <c r="C46" s="197"/>
      <c r="D46" s="111"/>
      <c r="E46" s="112"/>
      <c r="F46" s="113"/>
      <c r="G46" s="195"/>
    </row>
    <row r="47" spans="1:7" ht="55.2">
      <c r="A47" s="196" t="s">
        <v>70</v>
      </c>
      <c r="B47" s="9" t="s">
        <v>71</v>
      </c>
      <c r="C47" s="178" t="s">
        <v>68</v>
      </c>
      <c r="D47" s="178">
        <v>1</v>
      </c>
      <c r="E47" s="178"/>
      <c r="F47" s="178">
        <f t="shared" ref="F47" si="4">D47*E47</f>
        <v>0</v>
      </c>
      <c r="G47" s="178"/>
    </row>
    <row r="48" spans="1:7">
      <c r="A48" s="190"/>
      <c r="B48" s="9"/>
      <c r="C48" s="10"/>
      <c r="D48" s="13"/>
      <c r="E48" s="178"/>
      <c r="F48" s="178"/>
      <c r="G48" s="186"/>
    </row>
    <row r="49" spans="1:7">
      <c r="A49" s="15">
        <v>8</v>
      </c>
      <c r="B49" s="307" t="s">
        <v>72</v>
      </c>
      <c r="C49" s="308"/>
      <c r="D49" s="308"/>
      <c r="E49" s="308"/>
      <c r="F49" s="309"/>
      <c r="G49" s="2">
        <f>SUM(F51:F51)</f>
        <v>0</v>
      </c>
    </row>
    <row r="50" spans="1:7">
      <c r="A50" s="196"/>
      <c r="B50" s="191"/>
      <c r="C50" s="111"/>
      <c r="D50" s="111"/>
      <c r="E50" s="111"/>
      <c r="F50" s="111"/>
      <c r="G50" s="111"/>
    </row>
    <row r="51" spans="1:7" ht="69">
      <c r="A51" s="196" t="s">
        <v>73</v>
      </c>
      <c r="B51" s="223" t="s">
        <v>74</v>
      </c>
      <c r="C51" s="178" t="s">
        <v>68</v>
      </c>
      <c r="D51" s="178">
        <v>1</v>
      </c>
      <c r="E51" s="178"/>
      <c r="F51" s="178">
        <f>+D51*E51</f>
        <v>0</v>
      </c>
      <c r="G51" s="178"/>
    </row>
    <row r="52" spans="1:7">
      <c r="A52" s="190"/>
      <c r="B52" s="9"/>
      <c r="C52" s="10"/>
      <c r="D52" s="13"/>
      <c r="E52" s="178"/>
      <c r="F52" s="178"/>
      <c r="G52" s="186"/>
    </row>
    <row r="53" spans="1:7">
      <c r="A53" s="15">
        <v>9</v>
      </c>
      <c r="B53" s="307" t="s">
        <v>75</v>
      </c>
      <c r="C53" s="308"/>
      <c r="D53" s="308"/>
      <c r="E53" s="308"/>
      <c r="F53" s="309"/>
      <c r="G53" s="2">
        <f>SUM(F55:F56)</f>
        <v>0</v>
      </c>
    </row>
    <row r="54" spans="1:7">
      <c r="A54" s="190"/>
      <c r="B54" s="9"/>
      <c r="C54" s="10"/>
      <c r="D54" s="13"/>
      <c r="E54" s="178"/>
      <c r="F54" s="178"/>
      <c r="G54" s="186"/>
    </row>
    <row r="55" spans="1:7" ht="69">
      <c r="A55" s="190" t="s">
        <v>76</v>
      </c>
      <c r="B55" s="191" t="s">
        <v>77</v>
      </c>
      <c r="C55" s="198" t="s">
        <v>68</v>
      </c>
      <c r="D55" s="13">
        <v>1</v>
      </c>
      <c r="E55" s="178"/>
      <c r="F55" s="178">
        <f>+D55*E55</f>
        <v>0</v>
      </c>
      <c r="G55" s="186"/>
    </row>
    <row r="56" spans="1:7" ht="55.2">
      <c r="A56" s="190" t="s">
        <v>78</v>
      </c>
      <c r="B56" s="194" t="s">
        <v>62</v>
      </c>
      <c r="C56" s="10" t="s">
        <v>30</v>
      </c>
      <c r="D56" s="13">
        <f>1.8*0.6</f>
        <v>1.08</v>
      </c>
      <c r="E56" s="178"/>
      <c r="F56" s="178">
        <f>+D56*E56</f>
        <v>0</v>
      </c>
      <c r="G56" s="186"/>
    </row>
    <row r="57" spans="1:7">
      <c r="A57" s="196"/>
      <c r="B57" s="191"/>
      <c r="C57" s="110"/>
      <c r="D57" s="111"/>
      <c r="E57" s="112"/>
      <c r="F57" s="113"/>
      <c r="G57" s="195"/>
    </row>
    <row r="58" spans="1:7">
      <c r="A58" s="15">
        <v>10</v>
      </c>
      <c r="B58" s="307" t="s">
        <v>94</v>
      </c>
      <c r="C58" s="308"/>
      <c r="D58" s="308"/>
      <c r="E58" s="308"/>
      <c r="F58" s="309"/>
      <c r="G58" s="2">
        <f>SUM(F60:F61)</f>
        <v>0</v>
      </c>
    </row>
    <row r="59" spans="1:7">
      <c r="A59" s="190"/>
      <c r="B59" s="9"/>
      <c r="C59" s="10"/>
      <c r="D59" s="13"/>
      <c r="E59" s="178"/>
      <c r="F59" s="178"/>
      <c r="G59" s="186"/>
    </row>
    <row r="60" spans="1:7" ht="41.4">
      <c r="A60" s="190" t="s">
        <v>80</v>
      </c>
      <c r="B60" s="9" t="s">
        <v>95</v>
      </c>
      <c r="C60" s="10" t="s">
        <v>56</v>
      </c>
      <c r="D60" s="13">
        <v>1</v>
      </c>
      <c r="E60" s="178"/>
      <c r="F60" s="178">
        <f>+D60*E60</f>
        <v>0</v>
      </c>
      <c r="G60" s="186"/>
    </row>
    <row r="61" spans="1:7" ht="69">
      <c r="A61" s="190" t="s">
        <v>96</v>
      </c>
      <c r="B61" s="9" t="s">
        <v>97</v>
      </c>
      <c r="C61" s="10" t="s">
        <v>68</v>
      </c>
      <c r="D61" s="13">
        <v>1</v>
      </c>
      <c r="E61" s="178"/>
      <c r="F61" s="178">
        <f t="shared" ref="F61" si="5">+D61*E61</f>
        <v>0</v>
      </c>
      <c r="G61" s="186"/>
    </row>
    <row r="62" spans="1:7">
      <c r="A62" s="190"/>
      <c r="B62" s="9"/>
      <c r="C62" s="10"/>
      <c r="D62" s="13"/>
      <c r="E62" s="178"/>
      <c r="F62" s="178"/>
      <c r="G62" s="186"/>
    </row>
    <row r="63" spans="1:7">
      <c r="A63" s="15">
        <v>11</v>
      </c>
      <c r="B63" s="307" t="s">
        <v>98</v>
      </c>
      <c r="C63" s="308"/>
      <c r="D63" s="308"/>
      <c r="E63" s="308"/>
      <c r="F63" s="309"/>
      <c r="G63" s="2">
        <f>+F65</f>
        <v>0</v>
      </c>
    </row>
    <row r="64" spans="1:7">
      <c r="A64" s="196"/>
      <c r="E64" s="112"/>
      <c r="F64" s="113"/>
      <c r="G64" s="202"/>
    </row>
    <row r="65" spans="1:7" ht="110.4">
      <c r="A65" s="196" t="s">
        <v>99</v>
      </c>
      <c r="B65" s="191" t="s">
        <v>81</v>
      </c>
      <c r="C65" s="110" t="s">
        <v>68</v>
      </c>
      <c r="D65" s="111">
        <v>1</v>
      </c>
      <c r="E65" s="112"/>
      <c r="F65" s="113">
        <f>+D65*E65</f>
        <v>0</v>
      </c>
      <c r="G65" s="202"/>
    </row>
    <row r="66" spans="1:7" ht="15" thickBot="1">
      <c r="A66" s="190"/>
      <c r="B66" s="224"/>
      <c r="C66" s="10"/>
      <c r="D66" s="199"/>
      <c r="E66" s="178"/>
      <c r="F66" s="178"/>
      <c r="G66" s="186"/>
    </row>
    <row r="67" spans="1:7">
      <c r="A67" s="215"/>
      <c r="B67" s="310"/>
      <c r="C67" s="311"/>
      <c r="D67" s="311"/>
      <c r="E67" s="311"/>
      <c r="F67" s="312"/>
      <c r="G67" s="313">
        <f>SUM(G10:G66)</f>
        <v>0</v>
      </c>
    </row>
    <row r="68" spans="1:7" ht="15" thickBot="1">
      <c r="A68" s="216"/>
      <c r="B68" s="315" t="s">
        <v>86</v>
      </c>
      <c r="C68" s="316"/>
      <c r="D68" s="316"/>
      <c r="E68" s="316"/>
      <c r="F68" s="317"/>
      <c r="G68" s="314"/>
    </row>
  </sheetData>
  <mergeCells count="23">
    <mergeCell ref="F4:G4"/>
    <mergeCell ref="F5:G5"/>
    <mergeCell ref="F7:G7"/>
    <mergeCell ref="A9:G9"/>
    <mergeCell ref="B10:F10"/>
    <mergeCell ref="A7:A8"/>
    <mergeCell ref="B7:B8"/>
    <mergeCell ref="C7:C8"/>
    <mergeCell ref="D7:D8"/>
    <mergeCell ref="E7:E8"/>
    <mergeCell ref="B21:F21"/>
    <mergeCell ref="B15:F15"/>
    <mergeCell ref="B26:F26"/>
    <mergeCell ref="B32:F32"/>
    <mergeCell ref="B41:F41"/>
    <mergeCell ref="B67:F67"/>
    <mergeCell ref="G67:G68"/>
    <mergeCell ref="B68:F68"/>
    <mergeCell ref="B45:F45"/>
    <mergeCell ref="B49:F49"/>
    <mergeCell ref="B53:F53"/>
    <mergeCell ref="B58:F58"/>
    <mergeCell ref="B63:F63"/>
  </mergeCells>
  <phoneticPr fontId="2" type="noConversion"/>
  <pageMargins left="0.51181102362204722" right="0.51181102362204722" top="0.78740157480314965" bottom="0.59055118110236227" header="0.31496062992125984" footer="0.39370078740157483"/>
  <pageSetup paperSize="9" scale="92" orientation="portrait" r:id="rId1"/>
  <headerFooter>
    <oddHeader>&amp;L&amp;G</oddHeader>
    <oddFooter>&amp;R&amp;8&amp;K01+033&amp;P/&amp;N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"/>
  <sheetViews>
    <sheetView view="pageBreakPreview" zoomScale="88" zoomScaleNormal="100" zoomScaleSheetLayoutView="88" workbookViewId="0">
      <selection activeCell="E26" sqref="E26"/>
    </sheetView>
  </sheetViews>
  <sheetFormatPr defaultRowHeight="14.4"/>
  <cols>
    <col min="1" max="1" width="10" style="161" customWidth="1"/>
    <col min="2" max="2" width="50.5546875" style="162" customWidth="1"/>
    <col min="3" max="3" width="4.5546875" style="162" customWidth="1"/>
    <col min="4" max="4" width="6.5546875" style="162" customWidth="1"/>
    <col min="5" max="5" width="15.33203125" style="163" bestFit="1" customWidth="1"/>
    <col min="6" max="6" width="12.6640625" style="163" bestFit="1" customWidth="1"/>
    <col min="7" max="7" width="15.109375" style="162" customWidth="1"/>
  </cols>
  <sheetData>
    <row r="2" spans="1:7">
      <c r="A2" s="164" t="s">
        <v>9</v>
      </c>
      <c r="B2" s="164"/>
      <c r="C2" s="164"/>
      <c r="D2" s="164"/>
      <c r="E2" s="165"/>
      <c r="F2" s="166"/>
      <c r="G2" s="164"/>
    </row>
    <row r="3" spans="1:7">
      <c r="A3" s="167" t="s">
        <v>10</v>
      </c>
      <c r="B3" s="164" t="s">
        <v>11</v>
      </c>
      <c r="C3" s="167"/>
      <c r="E3" s="168"/>
      <c r="F3" s="168"/>
      <c r="G3" s="167"/>
    </row>
    <row r="4" spans="1:7">
      <c r="A4" s="167" t="s">
        <v>12</v>
      </c>
      <c r="B4" s="164"/>
      <c r="C4" s="167"/>
      <c r="D4" s="167"/>
      <c r="E4" s="165"/>
      <c r="F4" s="318"/>
      <c r="G4" s="318"/>
    </row>
    <row r="5" spans="1:7">
      <c r="A5" s="167" t="s">
        <v>13</v>
      </c>
      <c r="B5" s="164" t="s">
        <v>100</v>
      </c>
      <c r="C5" s="167"/>
      <c r="D5" s="167"/>
      <c r="E5" s="165"/>
      <c r="F5" s="318" t="s">
        <v>15</v>
      </c>
      <c r="G5" s="318"/>
    </row>
    <row r="6" spans="1:7" ht="15" thickBot="1">
      <c r="A6" s="167"/>
      <c r="B6" s="164"/>
      <c r="C6" s="167"/>
      <c r="D6" s="167"/>
      <c r="E6" s="169"/>
      <c r="F6" s="169"/>
      <c r="G6" s="167"/>
    </row>
    <row r="7" spans="1:7" ht="15" thickBot="1">
      <c r="A7" s="319" t="s">
        <v>16</v>
      </c>
      <c r="B7" s="319" t="s">
        <v>17</v>
      </c>
      <c r="C7" s="319" t="s">
        <v>18</v>
      </c>
      <c r="D7" s="321" t="s">
        <v>19</v>
      </c>
      <c r="E7" s="323" t="s">
        <v>20</v>
      </c>
      <c r="F7" s="325" t="s">
        <v>21</v>
      </c>
      <c r="G7" s="326"/>
    </row>
    <row r="8" spans="1:7" ht="15" thickBot="1">
      <c r="A8" s="320"/>
      <c r="B8" s="320" t="s">
        <v>22</v>
      </c>
      <c r="C8" s="320" t="s">
        <v>23</v>
      </c>
      <c r="D8" s="322" t="s">
        <v>24</v>
      </c>
      <c r="E8" s="324"/>
      <c r="F8" s="170" t="s">
        <v>25</v>
      </c>
      <c r="G8" s="171" t="s">
        <v>26</v>
      </c>
    </row>
    <row r="9" spans="1:7">
      <c r="A9" s="327"/>
      <c r="B9" s="328"/>
      <c r="C9" s="328"/>
      <c r="D9" s="328"/>
      <c r="E9" s="328"/>
      <c r="F9" s="328"/>
      <c r="G9" s="329"/>
    </row>
    <row r="10" spans="1:7">
      <c r="A10" s="15">
        <v>1</v>
      </c>
      <c r="B10" s="307" t="s">
        <v>27</v>
      </c>
      <c r="C10" s="308"/>
      <c r="D10" s="308"/>
      <c r="E10" s="308"/>
      <c r="F10" s="309"/>
      <c r="G10" s="2">
        <f>+SUM(F12:F12)</f>
        <v>0</v>
      </c>
    </row>
    <row r="11" spans="1:7">
      <c r="A11" s="172"/>
      <c r="B11" s="173"/>
      <c r="C11" s="173"/>
      <c r="D11" s="173"/>
      <c r="E11" s="174"/>
      <c r="F11" s="174"/>
      <c r="G11" s="175"/>
    </row>
    <row r="12" spans="1:7" ht="41.4">
      <c r="A12" s="176" t="s">
        <v>28</v>
      </c>
      <c r="B12" s="177" t="s">
        <v>101</v>
      </c>
      <c r="C12" s="10" t="s">
        <v>36</v>
      </c>
      <c r="D12" s="13">
        <f>(50.9+26.94)*0.15</f>
        <v>11.676</v>
      </c>
      <c r="E12" s="178"/>
      <c r="F12" s="178">
        <f>+D12*E12</f>
        <v>0</v>
      </c>
      <c r="G12" s="179"/>
    </row>
    <row r="13" spans="1:7">
      <c r="A13" s="180"/>
      <c r="B13" s="181"/>
      <c r="C13" s="181"/>
      <c r="D13" s="181"/>
      <c r="E13" s="182"/>
      <c r="F13" s="178"/>
      <c r="G13" s="183"/>
    </row>
    <row r="14" spans="1:7">
      <c r="A14" s="15">
        <v>2</v>
      </c>
      <c r="B14" s="307" t="s">
        <v>31</v>
      </c>
      <c r="C14" s="308"/>
      <c r="D14" s="308"/>
      <c r="E14" s="308"/>
      <c r="F14" s="309"/>
      <c r="G14" s="2">
        <f>SUM(F17:F18)</f>
        <v>0</v>
      </c>
    </row>
    <row r="15" spans="1:7">
      <c r="A15" s="172"/>
      <c r="B15" s="173"/>
      <c r="C15" s="173"/>
      <c r="D15" s="173"/>
      <c r="E15" s="174"/>
      <c r="F15" s="174"/>
      <c r="G15" s="175"/>
    </row>
    <row r="16" spans="1:7" ht="82.8">
      <c r="A16" s="176" t="s">
        <v>32</v>
      </c>
      <c r="B16" s="184" t="s">
        <v>33</v>
      </c>
      <c r="C16" s="185"/>
      <c r="D16" s="13"/>
      <c r="E16" s="178"/>
      <c r="F16" s="178"/>
      <c r="G16" s="186"/>
    </row>
    <row r="17" spans="1:7" ht="16.8">
      <c r="A17" s="176" t="s">
        <v>34</v>
      </c>
      <c r="B17" s="184" t="s">
        <v>35</v>
      </c>
      <c r="C17" s="10" t="s">
        <v>36</v>
      </c>
      <c r="D17" s="178">
        <f>0.2*0.4*10.5*3+0.2*0.4*7.86*4</f>
        <v>5.0352000000000015</v>
      </c>
      <c r="E17" s="178"/>
      <c r="F17" s="178">
        <f t="shared" ref="F17:F18" si="0">D17*E17</f>
        <v>0</v>
      </c>
      <c r="G17" s="186"/>
    </row>
    <row r="18" spans="1:7" ht="16.8">
      <c r="A18" s="176" t="s">
        <v>37</v>
      </c>
      <c r="B18" s="184" t="s">
        <v>38</v>
      </c>
      <c r="C18" s="10" t="s">
        <v>36</v>
      </c>
      <c r="D18" s="13">
        <f>50.98*0.15</f>
        <v>7.6469999999999994</v>
      </c>
      <c r="E18" s="178"/>
      <c r="F18" s="178">
        <f t="shared" si="0"/>
        <v>0</v>
      </c>
      <c r="G18" s="186"/>
    </row>
    <row r="19" spans="1:7">
      <c r="A19" s="176"/>
      <c r="B19" s="184"/>
      <c r="C19" s="10"/>
      <c r="D19" s="13"/>
      <c r="E19" s="178"/>
      <c r="F19" s="178"/>
      <c r="G19" s="186"/>
    </row>
    <row r="20" spans="1:7">
      <c r="A20" s="15">
        <v>3</v>
      </c>
      <c r="B20" s="307" t="s">
        <v>39</v>
      </c>
      <c r="C20" s="308"/>
      <c r="D20" s="308"/>
      <c r="E20" s="308"/>
      <c r="F20" s="309"/>
      <c r="G20" s="2">
        <f>+SUM(F22:F26)</f>
        <v>0</v>
      </c>
    </row>
    <row r="21" spans="1:7">
      <c r="A21" s="176"/>
      <c r="B21" s="184"/>
      <c r="C21" s="10"/>
      <c r="D21" s="13"/>
      <c r="E21" s="178"/>
      <c r="F21" s="178"/>
      <c r="G21" s="186"/>
    </row>
    <row r="22" spans="1:7" ht="70.8">
      <c r="A22" s="176" t="s">
        <v>40</v>
      </c>
      <c r="B22" s="184" t="s">
        <v>91</v>
      </c>
      <c r="C22" s="184" t="s">
        <v>30</v>
      </c>
      <c r="D22" s="13">
        <f>9+5</f>
        <v>14</v>
      </c>
      <c r="E22" s="178"/>
      <c r="F22" s="178">
        <f>+D22*E22</f>
        <v>0</v>
      </c>
      <c r="G22" s="186"/>
    </row>
    <row r="23" spans="1:7">
      <c r="A23" s="180"/>
      <c r="B23" s="187"/>
      <c r="C23" s="187"/>
      <c r="D23" s="187"/>
      <c r="E23" s="188"/>
      <c r="F23" s="188"/>
      <c r="G23" s="189"/>
    </row>
    <row r="24" spans="1:7">
      <c r="A24" s="15">
        <v>4</v>
      </c>
      <c r="B24" s="307" t="s">
        <v>42</v>
      </c>
      <c r="C24" s="308"/>
      <c r="D24" s="308"/>
      <c r="E24" s="308"/>
      <c r="F24" s="309"/>
      <c r="G24" s="2">
        <f>SUM(F26:F26)</f>
        <v>0</v>
      </c>
    </row>
    <row r="25" spans="1:7">
      <c r="A25" s="190"/>
      <c r="B25" s="9"/>
      <c r="C25" s="10"/>
      <c r="D25" s="13"/>
      <c r="E25" s="178"/>
      <c r="F25" s="178"/>
      <c r="G25" s="186"/>
    </row>
    <row r="26" spans="1:7" ht="55.2">
      <c r="A26" s="190" t="s">
        <v>43</v>
      </c>
      <c r="B26" s="9" t="s">
        <v>44</v>
      </c>
      <c r="C26" s="10" t="s">
        <v>30</v>
      </c>
      <c r="D26" s="13">
        <f>16.7*3</f>
        <v>50.099999999999994</v>
      </c>
      <c r="E26" s="178"/>
      <c r="F26" s="178">
        <f>+D26*E26</f>
        <v>0</v>
      </c>
      <c r="G26" s="186"/>
    </row>
    <row r="27" spans="1:7">
      <c r="A27" s="196"/>
      <c r="B27" s="191"/>
      <c r="C27" s="110"/>
      <c r="D27" s="111"/>
      <c r="E27" s="112"/>
      <c r="F27" s="113"/>
      <c r="G27" s="195"/>
    </row>
    <row r="28" spans="1:7">
      <c r="A28" s="15">
        <v>5</v>
      </c>
      <c r="B28" s="307" t="s">
        <v>102</v>
      </c>
      <c r="C28" s="308"/>
      <c r="D28" s="308"/>
      <c r="E28" s="308"/>
      <c r="F28" s="309"/>
      <c r="G28" s="2">
        <f>+SUM(F30)</f>
        <v>0</v>
      </c>
    </row>
    <row r="29" spans="1:7">
      <c r="A29" s="190"/>
      <c r="B29" s="9"/>
      <c r="C29" s="192"/>
      <c r="D29" s="13"/>
      <c r="E29" s="178"/>
      <c r="F29" s="178"/>
      <c r="G29" s="186"/>
    </row>
    <row r="30" spans="1:7" ht="55.2">
      <c r="A30" s="190" t="s">
        <v>93</v>
      </c>
      <c r="B30" s="9" t="s">
        <v>67</v>
      </c>
      <c r="C30" s="10" t="s">
        <v>68</v>
      </c>
      <c r="D30" s="13">
        <v>1</v>
      </c>
      <c r="E30" s="178"/>
      <c r="F30" s="178">
        <f t="shared" ref="F30" si="1">D30*E30</f>
        <v>0</v>
      </c>
      <c r="G30" s="186"/>
    </row>
    <row r="31" spans="1:7">
      <c r="A31" s="190"/>
      <c r="B31" s="9"/>
      <c r="C31" s="10"/>
      <c r="D31" s="13"/>
      <c r="E31" s="178"/>
      <c r="F31" s="178"/>
      <c r="G31" s="186"/>
    </row>
    <row r="32" spans="1:7">
      <c r="A32" s="15">
        <v>6</v>
      </c>
      <c r="B32" s="307" t="s">
        <v>103</v>
      </c>
      <c r="C32" s="308"/>
      <c r="D32" s="308"/>
      <c r="E32" s="308"/>
      <c r="F32" s="309"/>
      <c r="G32" s="2">
        <f>SUM(F34:F34)</f>
        <v>0</v>
      </c>
    </row>
    <row r="33" spans="1:7">
      <c r="A33" s="196"/>
      <c r="B33" s="191"/>
      <c r="C33" s="197"/>
      <c r="D33" s="111"/>
      <c r="E33" s="112"/>
      <c r="F33" s="113"/>
      <c r="G33" s="195"/>
    </row>
    <row r="34" spans="1:7" ht="41.4">
      <c r="A34" s="190" t="s">
        <v>66</v>
      </c>
      <c r="B34" s="9" t="s">
        <v>71</v>
      </c>
      <c r="C34" s="197" t="s">
        <v>68</v>
      </c>
      <c r="D34" s="13">
        <v>1</v>
      </c>
      <c r="E34" s="13"/>
      <c r="F34" s="178">
        <f t="shared" ref="F34" si="2">D34*E34</f>
        <v>0</v>
      </c>
      <c r="G34" s="13"/>
    </row>
    <row r="35" spans="1:7">
      <c r="A35" s="190"/>
      <c r="B35" s="9"/>
      <c r="C35" s="10"/>
      <c r="D35" s="13"/>
      <c r="E35" s="178"/>
      <c r="F35" s="178"/>
      <c r="G35" s="186"/>
    </row>
    <row r="36" spans="1:7">
      <c r="A36" s="15">
        <v>7</v>
      </c>
      <c r="B36" s="307" t="s">
        <v>104</v>
      </c>
      <c r="C36" s="308"/>
      <c r="D36" s="308"/>
      <c r="E36" s="308"/>
      <c r="F36" s="309"/>
      <c r="G36" s="2">
        <f>SUM(F38:F38)</f>
        <v>0</v>
      </c>
    </row>
    <row r="37" spans="1:7">
      <c r="A37" s="196"/>
      <c r="B37" s="191"/>
      <c r="C37" s="197"/>
      <c r="D37" s="111"/>
      <c r="E37" s="112"/>
      <c r="F37" s="113"/>
      <c r="G37" s="195"/>
    </row>
    <row r="38" spans="1:7" ht="55.2">
      <c r="A38" s="196" t="s">
        <v>70</v>
      </c>
      <c r="B38" s="191" t="s">
        <v>74</v>
      </c>
      <c r="C38" s="197" t="s">
        <v>68</v>
      </c>
      <c r="D38" s="111">
        <v>1</v>
      </c>
      <c r="E38" s="112"/>
      <c r="F38" s="113">
        <f>+D38*E38</f>
        <v>0</v>
      </c>
      <c r="G38" s="195"/>
    </row>
    <row r="39" spans="1:7">
      <c r="A39" s="190"/>
      <c r="B39" s="9"/>
      <c r="C39" s="10"/>
      <c r="D39" s="13"/>
      <c r="E39" s="178"/>
      <c r="F39" s="178"/>
      <c r="G39" s="186"/>
    </row>
    <row r="40" spans="1:7">
      <c r="A40" s="15">
        <v>8</v>
      </c>
      <c r="B40" s="307" t="s">
        <v>105</v>
      </c>
      <c r="C40" s="308"/>
      <c r="D40" s="308"/>
      <c r="E40" s="308"/>
      <c r="F40" s="309"/>
      <c r="G40" s="2">
        <f>SUM(F42:F43)</f>
        <v>0</v>
      </c>
    </row>
    <row r="41" spans="1:7">
      <c r="A41" s="190"/>
      <c r="B41" s="9"/>
      <c r="C41" s="10"/>
      <c r="D41" s="13"/>
      <c r="E41" s="178"/>
      <c r="F41" s="178"/>
      <c r="G41" s="186"/>
    </row>
    <row r="42" spans="1:7" ht="55.2">
      <c r="A42" s="190" t="s">
        <v>73</v>
      </c>
      <c r="B42" s="191" t="s">
        <v>77</v>
      </c>
      <c r="C42" s="198" t="s">
        <v>68</v>
      </c>
      <c r="D42" s="13">
        <v>1</v>
      </c>
      <c r="E42" s="178"/>
      <c r="F42" s="178">
        <f>+D42*E42</f>
        <v>0</v>
      </c>
      <c r="G42" s="186"/>
    </row>
    <row r="43" spans="1:7" ht="41.4">
      <c r="A43" s="190" t="s">
        <v>106</v>
      </c>
      <c r="B43" s="194" t="s">
        <v>62</v>
      </c>
      <c r="C43" s="10" t="s">
        <v>30</v>
      </c>
      <c r="D43" s="13">
        <f>1.8*0.6</f>
        <v>1.08</v>
      </c>
      <c r="E43" s="178"/>
      <c r="F43" s="178">
        <f>+D43*E43</f>
        <v>0</v>
      </c>
      <c r="G43" s="186"/>
    </row>
    <row r="44" spans="1:7">
      <c r="A44" s="190"/>
      <c r="B44" s="191"/>
      <c r="C44" s="10"/>
      <c r="D44" s="13"/>
      <c r="E44" s="178"/>
      <c r="F44" s="178"/>
      <c r="G44" s="186"/>
    </row>
    <row r="45" spans="1:7">
      <c r="A45" s="15">
        <v>9</v>
      </c>
      <c r="B45" s="307" t="s">
        <v>107</v>
      </c>
      <c r="C45" s="308"/>
      <c r="D45" s="308"/>
      <c r="E45" s="308"/>
      <c r="F45" s="309"/>
      <c r="G45" s="2">
        <f>+F47</f>
        <v>0</v>
      </c>
    </row>
    <row r="46" spans="1:7">
      <c r="A46" s="190"/>
      <c r="B46" s="9"/>
      <c r="C46" s="10"/>
      <c r="D46" s="13"/>
      <c r="E46" s="178"/>
      <c r="F46" s="178"/>
      <c r="G46" s="186"/>
    </row>
    <row r="47" spans="1:7" ht="55.2">
      <c r="A47" s="190" t="s">
        <v>76</v>
      </c>
      <c r="B47" s="9" t="s">
        <v>97</v>
      </c>
      <c r="C47" s="10" t="s">
        <v>68</v>
      </c>
      <c r="D47" s="13">
        <v>1</v>
      </c>
      <c r="E47" s="178"/>
      <c r="F47" s="178">
        <f>+D47*E47</f>
        <v>0</v>
      </c>
      <c r="G47" s="186"/>
    </row>
    <row r="48" spans="1:7">
      <c r="A48" s="190"/>
      <c r="B48" s="9"/>
      <c r="C48" s="10"/>
      <c r="D48" s="13"/>
      <c r="E48" s="178"/>
      <c r="F48" s="178"/>
      <c r="G48" s="186"/>
    </row>
    <row r="49" spans="1:7">
      <c r="A49" s="15">
        <v>10</v>
      </c>
      <c r="B49" s="307" t="s">
        <v>94</v>
      </c>
      <c r="C49" s="308"/>
      <c r="D49" s="308"/>
      <c r="E49" s="308"/>
      <c r="F49" s="309"/>
      <c r="G49" s="2">
        <f>SUM(F51:F51)</f>
        <v>0</v>
      </c>
    </row>
    <row r="50" spans="1:7">
      <c r="A50" s="3"/>
      <c r="B50" s="4"/>
      <c r="C50" s="5"/>
      <c r="D50" s="14"/>
      <c r="E50" s="6"/>
      <c r="F50" s="6"/>
      <c r="G50" s="7"/>
    </row>
    <row r="51" spans="1:7" ht="27.6">
      <c r="A51" s="8" t="s">
        <v>80</v>
      </c>
      <c r="B51" s="9" t="s">
        <v>108</v>
      </c>
      <c r="C51" s="10" t="s">
        <v>56</v>
      </c>
      <c r="D51" s="13">
        <v>2</v>
      </c>
      <c r="E51" s="11"/>
      <c r="F51" s="11">
        <f>D51*E51</f>
        <v>0</v>
      </c>
      <c r="G51" s="12"/>
    </row>
    <row r="52" spans="1:7">
      <c r="A52" s="8"/>
      <c r="B52" s="9"/>
      <c r="C52" s="10"/>
      <c r="D52" s="13"/>
      <c r="E52" s="11"/>
      <c r="F52" s="11"/>
      <c r="G52" s="12"/>
    </row>
    <row r="53" spans="1:7">
      <c r="A53" s="15">
        <v>11</v>
      </c>
      <c r="B53" s="307" t="s">
        <v>98</v>
      </c>
      <c r="C53" s="308"/>
      <c r="D53" s="308"/>
      <c r="E53" s="308"/>
      <c r="F53" s="309"/>
      <c r="G53" s="2">
        <f>+F55</f>
        <v>0</v>
      </c>
    </row>
    <row r="54" spans="1:7">
      <c r="A54" s="196"/>
      <c r="E54" s="112"/>
      <c r="F54" s="113"/>
      <c r="G54" s="202"/>
    </row>
    <row r="55" spans="1:7" ht="82.8">
      <c r="A55" s="196" t="s">
        <v>99</v>
      </c>
      <c r="B55" s="191" t="s">
        <v>81</v>
      </c>
      <c r="C55" s="110" t="s">
        <v>68</v>
      </c>
      <c r="D55" s="111">
        <v>1</v>
      </c>
      <c r="E55" s="112"/>
      <c r="F55" s="113">
        <f>+D55*E55</f>
        <v>0</v>
      </c>
      <c r="G55" s="202"/>
    </row>
    <row r="56" spans="1:7">
      <c r="A56" s="196"/>
      <c r="B56" s="191"/>
      <c r="C56" s="110"/>
      <c r="D56" s="111"/>
      <c r="E56" s="112"/>
      <c r="F56" s="113"/>
      <c r="G56" s="202"/>
    </row>
    <row r="57" spans="1:7">
      <c r="A57" s="15">
        <v>12</v>
      </c>
      <c r="B57" s="307" t="s">
        <v>109</v>
      </c>
      <c r="C57" s="308"/>
      <c r="D57" s="308"/>
      <c r="E57" s="308"/>
      <c r="F57" s="309"/>
      <c r="G57" s="2">
        <f>+SUM(F59:F60)</f>
        <v>0</v>
      </c>
    </row>
    <row r="58" spans="1:7">
      <c r="A58" s="196"/>
      <c r="B58" s="191"/>
      <c r="C58" s="110"/>
      <c r="D58" s="111"/>
      <c r="E58" s="112"/>
      <c r="F58" s="113"/>
      <c r="G58" s="202"/>
    </row>
    <row r="59" spans="1:7" ht="41.4">
      <c r="A59" s="196" t="s">
        <v>110</v>
      </c>
      <c r="B59" s="194" t="s">
        <v>62</v>
      </c>
      <c r="C59" s="10" t="s">
        <v>30</v>
      </c>
      <c r="D59" s="111">
        <f>+(0.8+0.8)*2.1</f>
        <v>3.3600000000000003</v>
      </c>
      <c r="E59" s="112"/>
      <c r="F59" s="113">
        <f>+D59*E59</f>
        <v>0</v>
      </c>
      <c r="G59" s="202"/>
    </row>
    <row r="60" spans="1:7" ht="41.4">
      <c r="A60" s="196" t="s">
        <v>111</v>
      </c>
      <c r="B60" s="194" t="s">
        <v>64</v>
      </c>
      <c r="C60" s="10" t="s">
        <v>30</v>
      </c>
      <c r="D60" s="111">
        <v>3.57</v>
      </c>
      <c r="E60" s="112"/>
      <c r="F60" s="113">
        <f>+D60*E60</f>
        <v>0</v>
      </c>
      <c r="G60" s="202"/>
    </row>
    <row r="61" spans="1:7" ht="15" thickBot="1">
      <c r="A61" s="190"/>
      <c r="B61" s="224"/>
      <c r="C61" s="10"/>
      <c r="D61" s="199"/>
      <c r="E61" s="178"/>
      <c r="F61" s="178"/>
      <c r="G61" s="186"/>
    </row>
    <row r="62" spans="1:7">
      <c r="A62" s="215"/>
      <c r="B62" s="310"/>
      <c r="C62" s="311"/>
      <c r="D62" s="311"/>
      <c r="E62" s="311"/>
      <c r="F62" s="312"/>
      <c r="G62" s="313">
        <f>SUM(G10:G61)</f>
        <v>0</v>
      </c>
    </row>
    <row r="63" spans="1:7" ht="15" thickBot="1">
      <c r="A63" s="216"/>
      <c r="B63" s="315" t="s">
        <v>86</v>
      </c>
      <c r="C63" s="316"/>
      <c r="D63" s="316"/>
      <c r="E63" s="316"/>
      <c r="F63" s="317"/>
      <c r="G63" s="314"/>
    </row>
  </sheetData>
  <mergeCells count="24">
    <mergeCell ref="B36:F36"/>
    <mergeCell ref="B40:F40"/>
    <mergeCell ref="B14:F14"/>
    <mergeCell ref="B20:F20"/>
    <mergeCell ref="B24:F24"/>
    <mergeCell ref="B28:F28"/>
    <mergeCell ref="B32:F32"/>
    <mergeCell ref="F4:G4"/>
    <mergeCell ref="F5:G5"/>
    <mergeCell ref="F7:G7"/>
    <mergeCell ref="A9:G9"/>
    <mergeCell ref="B10:F10"/>
    <mergeCell ref="A7:A8"/>
    <mergeCell ref="B7:B8"/>
    <mergeCell ref="C7:C8"/>
    <mergeCell ref="D7:D8"/>
    <mergeCell ref="E7:E8"/>
    <mergeCell ref="B45:F45"/>
    <mergeCell ref="B49:F49"/>
    <mergeCell ref="B57:F57"/>
    <mergeCell ref="B62:F62"/>
    <mergeCell ref="G62:G63"/>
    <mergeCell ref="B63:F63"/>
    <mergeCell ref="B53:F53"/>
  </mergeCells>
  <phoneticPr fontId="2" type="noConversion"/>
  <pageMargins left="0.51181102362204722" right="0.51181102362204722" top="0.78740157480314965" bottom="0.59055118110236227" header="0.31496062992125984" footer="0.39370078740157483"/>
  <pageSetup paperSize="9" scale="80" orientation="portrait" r:id="rId1"/>
  <headerFooter>
    <oddHeader>&amp;L&amp;G</oddHeader>
    <oddFooter>&amp;R&amp;8&amp;K01+033&amp;P/&amp;N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0"/>
  <sheetViews>
    <sheetView workbookViewId="0">
      <selection activeCell="K64" sqref="K64"/>
    </sheetView>
  </sheetViews>
  <sheetFormatPr defaultColWidth="9.109375" defaultRowHeight="14.4"/>
  <cols>
    <col min="2" max="2" width="43.44140625" customWidth="1"/>
    <col min="5" max="6" width="10.109375" customWidth="1"/>
    <col min="7" max="7" width="13.5546875" customWidth="1"/>
  </cols>
  <sheetData>
    <row r="1" spans="1:7">
      <c r="A1" s="95"/>
      <c r="E1" s="96"/>
      <c r="F1" s="96"/>
    </row>
    <row r="2" spans="1:7">
      <c r="A2" s="19" t="s">
        <v>9</v>
      </c>
      <c r="B2" s="19"/>
      <c r="C2" s="97"/>
      <c r="D2" s="97"/>
      <c r="E2" s="20"/>
      <c r="F2" s="98"/>
      <c r="G2" s="97"/>
    </row>
    <row r="3" spans="1:7">
      <c r="A3" s="16" t="s">
        <v>10</v>
      </c>
      <c r="B3" s="19" t="s">
        <v>11</v>
      </c>
      <c r="C3" s="18"/>
      <c r="E3" s="27"/>
      <c r="F3" s="17"/>
      <c r="G3" s="18"/>
    </row>
    <row r="4" spans="1:7">
      <c r="A4" s="16" t="s">
        <v>12</v>
      </c>
      <c r="B4" s="19"/>
      <c r="C4" s="18"/>
      <c r="D4" s="18"/>
      <c r="E4" s="20"/>
      <c r="F4" s="282"/>
      <c r="G4" s="282"/>
    </row>
    <row r="5" spans="1:7">
      <c r="A5" s="16" t="s">
        <v>13</v>
      </c>
      <c r="B5" s="19" t="s">
        <v>199</v>
      </c>
      <c r="C5" s="18"/>
      <c r="D5" s="18"/>
      <c r="E5" s="20"/>
      <c r="F5" s="282" t="s">
        <v>15</v>
      </c>
      <c r="G5" s="282"/>
    </row>
    <row r="6" spans="1:7" ht="15" thickBot="1">
      <c r="A6" s="18"/>
      <c r="B6" s="19"/>
      <c r="C6" s="18"/>
      <c r="D6" s="18"/>
      <c r="E6" s="21"/>
      <c r="F6" s="21"/>
      <c r="G6" s="18"/>
    </row>
    <row r="7" spans="1:7" ht="15" thickBot="1">
      <c r="A7" s="290" t="s">
        <v>16</v>
      </c>
      <c r="B7" s="290" t="s">
        <v>17</v>
      </c>
      <c r="C7" s="290" t="s">
        <v>18</v>
      </c>
      <c r="D7" s="292" t="s">
        <v>19</v>
      </c>
      <c r="E7" s="294" t="s">
        <v>20</v>
      </c>
      <c r="F7" s="296" t="s">
        <v>21</v>
      </c>
      <c r="G7" s="297"/>
    </row>
    <row r="8" spans="1:7" ht="15" thickBot="1">
      <c r="A8" s="291"/>
      <c r="B8" s="291" t="s">
        <v>22</v>
      </c>
      <c r="C8" s="291" t="s">
        <v>23</v>
      </c>
      <c r="D8" s="293" t="s">
        <v>24</v>
      </c>
      <c r="E8" s="295"/>
      <c r="F8" s="99" t="s">
        <v>25</v>
      </c>
      <c r="G8" s="100" t="s">
        <v>26</v>
      </c>
    </row>
    <row r="9" spans="1:7">
      <c r="A9" s="284"/>
      <c r="B9" s="285"/>
      <c r="C9" s="285"/>
      <c r="D9" s="285"/>
      <c r="E9" s="285"/>
      <c r="F9" s="285"/>
      <c r="G9" s="286"/>
    </row>
    <row r="10" spans="1:7">
      <c r="A10" s="101">
        <v>1</v>
      </c>
      <c r="B10" s="287" t="s">
        <v>27</v>
      </c>
      <c r="C10" s="288"/>
      <c r="D10" s="288"/>
      <c r="E10" s="288"/>
      <c r="F10" s="289"/>
      <c r="G10" s="102">
        <f>+SUM(F12:F13)</f>
        <v>0</v>
      </c>
    </row>
    <row r="11" spans="1:7">
      <c r="A11" s="103"/>
      <c r="B11" s="104"/>
      <c r="C11" s="104"/>
      <c r="D11" s="104"/>
      <c r="E11" s="105"/>
      <c r="F11" s="105"/>
      <c r="G11" s="106"/>
    </row>
    <row r="12" spans="1:7" ht="53.25" customHeight="1">
      <c r="A12" s="66" t="s">
        <v>28</v>
      </c>
      <c r="B12" s="30" t="s">
        <v>115</v>
      </c>
      <c r="C12" s="31" t="s">
        <v>114</v>
      </c>
      <c r="D12" s="32">
        <f>9.37</f>
        <v>9.3699999999999992</v>
      </c>
      <c r="E12" s="33"/>
      <c r="F12" s="33">
        <f>D12*E12</f>
        <v>0</v>
      </c>
      <c r="G12" s="34"/>
    </row>
    <row r="13" spans="1:7" ht="46.5" customHeight="1">
      <c r="A13" s="66" t="s">
        <v>88</v>
      </c>
      <c r="B13" s="30" t="s">
        <v>173</v>
      </c>
      <c r="C13" s="31" t="s">
        <v>114</v>
      </c>
      <c r="D13" s="32">
        <f>(0.25*2.95)</f>
        <v>0.73750000000000004</v>
      </c>
      <c r="E13" s="33"/>
      <c r="F13" s="33">
        <f t="shared" ref="F13" si="0">D13*E13</f>
        <v>0</v>
      </c>
      <c r="G13" s="34"/>
    </row>
    <row r="14" spans="1:7" ht="15" customHeight="1">
      <c r="A14" s="66"/>
      <c r="B14" s="30"/>
      <c r="C14" s="31"/>
      <c r="D14" s="32"/>
      <c r="E14" s="33"/>
      <c r="F14" s="33"/>
      <c r="G14" s="34"/>
    </row>
    <row r="15" spans="1:7" ht="15" customHeight="1">
      <c r="A15" s="101">
        <v>2</v>
      </c>
      <c r="B15" s="287" t="s">
        <v>118</v>
      </c>
      <c r="C15" s="288"/>
      <c r="D15" s="288"/>
      <c r="E15" s="288"/>
      <c r="F15" s="289"/>
      <c r="G15" s="102">
        <f>SUM(F17)</f>
        <v>0</v>
      </c>
    </row>
    <row r="16" spans="1:7" ht="15" customHeight="1">
      <c r="A16" s="66"/>
      <c r="B16" s="30"/>
      <c r="C16" s="31"/>
      <c r="D16" s="32"/>
      <c r="E16" s="33"/>
      <c r="F16" s="33"/>
      <c r="G16" s="34"/>
    </row>
    <row r="17" spans="1:7" ht="42.75" customHeight="1">
      <c r="A17" s="66" t="s">
        <v>32</v>
      </c>
      <c r="B17" s="30" t="s">
        <v>119</v>
      </c>
      <c r="C17" s="31" t="s">
        <v>120</v>
      </c>
      <c r="D17" s="32">
        <f>0.8*0.8*0.4</f>
        <v>0.25600000000000006</v>
      </c>
      <c r="E17" s="33"/>
      <c r="F17" s="33">
        <f>D17*E17</f>
        <v>0</v>
      </c>
      <c r="G17" s="34"/>
    </row>
    <row r="18" spans="1:7" ht="18.75" customHeight="1">
      <c r="A18" s="66"/>
      <c r="B18" s="30"/>
      <c r="C18" s="31"/>
      <c r="D18" s="32"/>
      <c r="E18" s="33"/>
      <c r="F18" s="33"/>
      <c r="G18" s="34"/>
    </row>
    <row r="19" spans="1:7" ht="18.75" customHeight="1">
      <c r="A19" s="101">
        <v>3</v>
      </c>
      <c r="B19" s="287" t="s">
        <v>121</v>
      </c>
      <c r="C19" s="288"/>
      <c r="D19" s="288"/>
      <c r="E19" s="288"/>
      <c r="F19" s="289"/>
      <c r="G19" s="102">
        <f>SUM(F21:F26)</f>
        <v>0</v>
      </c>
    </row>
    <row r="20" spans="1:7" ht="20.25" customHeight="1">
      <c r="A20" s="152"/>
      <c r="B20" s="153"/>
      <c r="C20" s="154"/>
      <c r="D20" s="154"/>
      <c r="E20" s="154"/>
      <c r="F20" s="155"/>
      <c r="G20" s="156"/>
    </row>
    <row r="21" spans="1:7" ht="43.5" customHeight="1">
      <c r="A21" s="62" t="s">
        <v>40</v>
      </c>
      <c r="B21" s="63" t="s">
        <v>122</v>
      </c>
      <c r="C21" s="31" t="s">
        <v>114</v>
      </c>
      <c r="D21" s="31">
        <f>(0.6*0.6)</f>
        <v>0.36</v>
      </c>
      <c r="E21" s="105"/>
      <c r="F21" s="105">
        <f>D21*E21</f>
        <v>0</v>
      </c>
      <c r="G21" s="106"/>
    </row>
    <row r="22" spans="1:7" ht="92.25" customHeight="1">
      <c r="A22" s="62" t="s">
        <v>90</v>
      </c>
      <c r="B22" s="63" t="s">
        <v>33</v>
      </c>
      <c r="C22" s="64"/>
      <c r="D22" s="32"/>
      <c r="E22" s="33"/>
      <c r="F22" s="33"/>
      <c r="G22" s="65"/>
    </row>
    <row r="23" spans="1:7" ht="22.5" customHeight="1">
      <c r="A23" s="62" t="s">
        <v>123</v>
      </c>
      <c r="B23" s="63" t="s">
        <v>124</v>
      </c>
      <c r="C23" s="31" t="s">
        <v>120</v>
      </c>
      <c r="D23" s="32">
        <f>0.5*0.5*0.4</f>
        <v>0.1</v>
      </c>
      <c r="E23" s="33"/>
      <c r="F23" s="33">
        <f>D23*E23</f>
        <v>0</v>
      </c>
      <c r="G23" s="65"/>
    </row>
    <row r="24" spans="1:7" ht="22.5" customHeight="1">
      <c r="A24" s="62" t="s">
        <v>125</v>
      </c>
      <c r="B24" s="63" t="s">
        <v>126</v>
      </c>
      <c r="C24" s="31" t="s">
        <v>120</v>
      </c>
      <c r="D24" s="32">
        <f>0.2*0.2*3.1</f>
        <v>0.12400000000000003</v>
      </c>
      <c r="E24" s="33"/>
      <c r="F24" s="33">
        <f>D24*E24</f>
        <v>0</v>
      </c>
      <c r="G24" s="65"/>
    </row>
    <row r="25" spans="1:7" ht="13.5" customHeight="1">
      <c r="A25" s="62" t="s">
        <v>127</v>
      </c>
      <c r="B25" s="63" t="s">
        <v>35</v>
      </c>
      <c r="C25" s="31" t="s">
        <v>120</v>
      </c>
      <c r="D25" s="32">
        <f>((2.58+2.28)*0.2*0.4)</f>
        <v>0.38880000000000003</v>
      </c>
      <c r="E25" s="33"/>
      <c r="F25" s="33">
        <f>D25*E25</f>
        <v>0</v>
      </c>
      <c r="G25" s="65"/>
    </row>
    <row r="26" spans="1:7" ht="15">
      <c r="A26" s="62" t="s">
        <v>128</v>
      </c>
      <c r="B26" s="63" t="s">
        <v>38</v>
      </c>
      <c r="C26" s="31" t="s">
        <v>120</v>
      </c>
      <c r="D26" s="32">
        <f>(3.5*0.15)</f>
        <v>0.52500000000000002</v>
      </c>
      <c r="E26" s="33"/>
      <c r="F26" s="33">
        <f>D26*E26</f>
        <v>0</v>
      </c>
      <c r="G26" s="65"/>
    </row>
    <row r="27" spans="1:7">
      <c r="A27" s="62"/>
      <c r="B27" s="63"/>
      <c r="C27" s="31"/>
      <c r="D27" s="32"/>
      <c r="E27" s="33"/>
      <c r="F27" s="33"/>
      <c r="G27" s="65"/>
    </row>
    <row r="28" spans="1:7">
      <c r="A28" s="101">
        <v>4</v>
      </c>
      <c r="B28" s="287" t="s">
        <v>129</v>
      </c>
      <c r="C28" s="288"/>
      <c r="D28" s="288"/>
      <c r="E28" s="288"/>
      <c r="F28" s="289"/>
      <c r="G28" s="102">
        <f>+SUM(F30:F31)</f>
        <v>0</v>
      </c>
    </row>
    <row r="29" spans="1:7">
      <c r="A29" s="103"/>
      <c r="B29" s="104"/>
      <c r="C29" s="104"/>
      <c r="D29" s="104"/>
      <c r="E29" s="105"/>
      <c r="F29" s="105"/>
      <c r="G29" s="106"/>
    </row>
    <row r="30" spans="1:7" ht="55.5" customHeight="1">
      <c r="A30" s="75" t="s">
        <v>43</v>
      </c>
      <c r="B30" s="76" t="s">
        <v>130</v>
      </c>
      <c r="C30" s="31" t="s">
        <v>114</v>
      </c>
      <c r="D30" s="32">
        <f>(1.67*2.95)+(1.6+1.96)*0.2</f>
        <v>5.6384999999999996</v>
      </c>
      <c r="E30" s="33"/>
      <c r="F30" s="33">
        <f>D30*E30</f>
        <v>0</v>
      </c>
      <c r="G30" s="65"/>
    </row>
    <row r="31" spans="1:7" ht="67.5" customHeight="1">
      <c r="A31" s="75" t="s">
        <v>45</v>
      </c>
      <c r="B31" s="76" t="s">
        <v>131</v>
      </c>
      <c r="C31" s="31" t="s">
        <v>114</v>
      </c>
      <c r="D31" s="32">
        <f>(0.74+5.5+0.96)*0.4</f>
        <v>2.8800000000000003</v>
      </c>
      <c r="E31" s="33"/>
      <c r="F31" s="33">
        <f>D31*E31</f>
        <v>0</v>
      </c>
      <c r="G31" s="65"/>
    </row>
    <row r="32" spans="1:7" ht="18.75" customHeight="1">
      <c r="A32" s="75"/>
      <c r="B32" s="76"/>
      <c r="C32" s="31"/>
      <c r="D32" s="32"/>
      <c r="E32" s="33"/>
      <c r="F32" s="33"/>
      <c r="G32" s="65"/>
    </row>
    <row r="33" spans="1:7" ht="16.5" customHeight="1">
      <c r="A33" s="101">
        <v>5</v>
      </c>
      <c r="B33" s="287" t="s">
        <v>132</v>
      </c>
      <c r="C33" s="288"/>
      <c r="D33" s="288"/>
      <c r="E33" s="288"/>
      <c r="F33" s="289"/>
      <c r="G33" s="102">
        <f>SUM(F35:F37)</f>
        <v>0</v>
      </c>
    </row>
    <row r="34" spans="1:7">
      <c r="A34" s="75"/>
      <c r="B34" s="76"/>
      <c r="C34" s="31"/>
      <c r="D34" s="32"/>
      <c r="E34" s="33"/>
      <c r="F34" s="33"/>
      <c r="G34" s="65"/>
    </row>
    <row r="35" spans="1:7" ht="69.75" customHeight="1">
      <c r="A35" s="75" t="s">
        <v>93</v>
      </c>
      <c r="B35" s="76" t="s">
        <v>44</v>
      </c>
      <c r="C35" s="31" t="s">
        <v>114</v>
      </c>
      <c r="D35" s="32">
        <f>((1.6+1.67*2+1.96*2+1.55+3.3+5.3)*2.95)</f>
        <v>56.07950000000001</v>
      </c>
      <c r="E35" s="33"/>
      <c r="F35" s="33">
        <f>+D35*E35</f>
        <v>0</v>
      </c>
      <c r="G35" s="65"/>
    </row>
    <row r="36" spans="1:7" ht="29.25" customHeight="1">
      <c r="A36" s="75" t="s">
        <v>134</v>
      </c>
      <c r="B36" s="76" t="s">
        <v>46</v>
      </c>
      <c r="C36" s="31" t="s">
        <v>114</v>
      </c>
      <c r="D36" s="32">
        <f>D35</f>
        <v>56.07950000000001</v>
      </c>
      <c r="E36" s="33"/>
      <c r="F36" s="33">
        <f>+D36*E36</f>
        <v>0</v>
      </c>
      <c r="G36" s="65"/>
    </row>
    <row r="37" spans="1:7" ht="36" customHeight="1">
      <c r="A37" s="75" t="s">
        <v>135</v>
      </c>
      <c r="B37" s="125" t="s">
        <v>48</v>
      </c>
      <c r="C37" s="31" t="s">
        <v>114</v>
      </c>
      <c r="D37" s="32">
        <f>(3.5)</f>
        <v>3.5</v>
      </c>
      <c r="E37" s="33"/>
      <c r="F37" s="33">
        <f>D37*E37</f>
        <v>0</v>
      </c>
      <c r="G37" s="65"/>
    </row>
    <row r="38" spans="1:7" ht="18.75" customHeight="1">
      <c r="A38" s="75"/>
      <c r="B38" s="76"/>
      <c r="C38" s="31"/>
      <c r="D38" s="32"/>
      <c r="E38" s="33"/>
      <c r="F38" s="33"/>
      <c r="G38" s="65"/>
    </row>
    <row r="39" spans="1:7" ht="18.75" customHeight="1">
      <c r="A39" s="101">
        <v>6</v>
      </c>
      <c r="B39" s="287" t="s">
        <v>139</v>
      </c>
      <c r="C39" s="288"/>
      <c r="D39" s="288"/>
      <c r="E39" s="288"/>
      <c r="F39" s="289"/>
      <c r="G39" s="102">
        <f>+SUM(F42:F48)</f>
        <v>0</v>
      </c>
    </row>
    <row r="40" spans="1:7" ht="15" customHeight="1">
      <c r="A40" s="75"/>
      <c r="B40" s="76"/>
      <c r="C40" s="31"/>
      <c r="D40" s="32"/>
      <c r="E40" s="33"/>
      <c r="F40" s="33"/>
      <c r="G40" s="65"/>
    </row>
    <row r="41" spans="1:7" ht="15" customHeight="1">
      <c r="A41" s="122" t="s">
        <v>66</v>
      </c>
      <c r="B41" s="123" t="s">
        <v>140</v>
      </c>
      <c r="C41" s="31"/>
      <c r="D41" s="32"/>
      <c r="E41" s="33"/>
      <c r="F41" s="33"/>
      <c r="G41" s="65"/>
    </row>
    <row r="42" spans="1:7" ht="51" customHeight="1">
      <c r="A42" s="75" t="s">
        <v>141</v>
      </c>
      <c r="B42" s="76" t="s">
        <v>142</v>
      </c>
      <c r="C42" s="31" t="s">
        <v>114</v>
      </c>
      <c r="D42" s="32">
        <f>2.53</f>
        <v>2.5299999999999998</v>
      </c>
      <c r="E42" s="33"/>
      <c r="F42" s="33">
        <f t="shared" ref="F42:F44" si="1">D42*E42</f>
        <v>0</v>
      </c>
      <c r="G42" s="65"/>
    </row>
    <row r="43" spans="1:7" ht="48" customHeight="1">
      <c r="A43" s="75" t="s">
        <v>143</v>
      </c>
      <c r="B43" s="76" t="s">
        <v>64</v>
      </c>
      <c r="C43" s="31" t="s">
        <v>114</v>
      </c>
      <c r="D43" s="32">
        <f>D42</f>
        <v>2.5299999999999998</v>
      </c>
      <c r="E43" s="33"/>
      <c r="F43" s="33">
        <f t="shared" si="1"/>
        <v>0</v>
      </c>
      <c r="G43" s="65"/>
    </row>
    <row r="44" spans="1:7" ht="57" customHeight="1">
      <c r="A44" s="75" t="s">
        <v>144</v>
      </c>
      <c r="B44" s="76" t="s">
        <v>62</v>
      </c>
      <c r="C44" s="31" t="s">
        <v>114</v>
      </c>
      <c r="D44" s="32">
        <f>(0.8+0.8)*2.1</f>
        <v>3.3600000000000003</v>
      </c>
      <c r="E44" s="33"/>
      <c r="F44" s="33">
        <f t="shared" si="1"/>
        <v>0</v>
      </c>
      <c r="G44" s="65"/>
    </row>
    <row r="45" spans="1:7" ht="26.25" customHeight="1">
      <c r="A45" s="122" t="s">
        <v>145</v>
      </c>
      <c r="B45" s="123" t="s">
        <v>53</v>
      </c>
      <c r="C45" s="31"/>
      <c r="D45" s="32"/>
      <c r="E45" s="33"/>
      <c r="F45" s="33"/>
      <c r="G45" s="65"/>
    </row>
    <row r="46" spans="1:7" ht="72.75" customHeight="1">
      <c r="A46" s="75" t="s">
        <v>146</v>
      </c>
      <c r="B46" s="76" t="s">
        <v>55</v>
      </c>
      <c r="C46" s="31" t="s">
        <v>147</v>
      </c>
      <c r="D46" s="32">
        <v>1</v>
      </c>
      <c r="E46" s="33"/>
      <c r="F46" s="33">
        <f t="shared" ref="F46:F48" si="2">D46*E46</f>
        <v>0</v>
      </c>
      <c r="G46" s="65"/>
    </row>
    <row r="47" spans="1:7" ht="65.25" customHeight="1">
      <c r="A47" s="75" t="s">
        <v>148</v>
      </c>
      <c r="B47" s="76" t="s">
        <v>58</v>
      </c>
      <c r="C47" s="31" t="s">
        <v>147</v>
      </c>
      <c r="D47" s="32">
        <v>1</v>
      </c>
      <c r="E47" s="33"/>
      <c r="F47" s="33">
        <f t="shared" si="2"/>
        <v>0</v>
      </c>
      <c r="G47" s="65"/>
    </row>
    <row r="48" spans="1:7" ht="65.25" customHeight="1">
      <c r="A48" s="75" t="s">
        <v>149</v>
      </c>
      <c r="B48" s="76" t="s">
        <v>150</v>
      </c>
      <c r="C48" s="31" t="s">
        <v>147</v>
      </c>
      <c r="D48" s="32">
        <v>1</v>
      </c>
      <c r="E48" s="33"/>
      <c r="F48" s="33">
        <f t="shared" si="2"/>
        <v>0</v>
      </c>
      <c r="G48" s="65"/>
    </row>
    <row r="49" spans="1:7">
      <c r="A49" s="75"/>
      <c r="B49" s="76"/>
      <c r="C49" s="31"/>
      <c r="D49" s="32"/>
      <c r="E49" s="33"/>
      <c r="F49" s="33"/>
      <c r="G49" s="65"/>
    </row>
    <row r="50" spans="1:7">
      <c r="A50" s="101">
        <v>7</v>
      </c>
      <c r="B50" s="287" t="s">
        <v>151</v>
      </c>
      <c r="C50" s="288"/>
      <c r="D50" s="288"/>
      <c r="E50" s="288"/>
      <c r="F50" s="289"/>
      <c r="G50" s="102">
        <f>+SUM(F52:F53)</f>
        <v>0</v>
      </c>
    </row>
    <row r="51" spans="1:7" ht="12" customHeight="1">
      <c r="A51" s="75"/>
      <c r="B51" s="76"/>
      <c r="C51" s="121"/>
      <c r="D51" s="32"/>
      <c r="E51" s="33"/>
      <c r="F51" s="33"/>
      <c r="G51" s="65"/>
    </row>
    <row r="52" spans="1:7" ht="59.25" customHeight="1">
      <c r="A52" s="75" t="s">
        <v>70</v>
      </c>
      <c r="B52" s="124" t="s">
        <v>152</v>
      </c>
      <c r="C52" s="31" t="s">
        <v>68</v>
      </c>
      <c r="D52" s="32">
        <v>1</v>
      </c>
      <c r="E52" s="33"/>
      <c r="F52" s="33">
        <f>D52*E52</f>
        <v>0</v>
      </c>
      <c r="G52" s="65"/>
    </row>
    <row r="53" spans="1:7" ht="41.25" customHeight="1">
      <c r="A53" s="75" t="s">
        <v>200</v>
      </c>
      <c r="B53" s="124" t="s">
        <v>201</v>
      </c>
      <c r="C53" s="31" t="s">
        <v>68</v>
      </c>
      <c r="D53" s="32">
        <v>1</v>
      </c>
      <c r="E53" s="33"/>
      <c r="F53" s="33">
        <f>D53*E53</f>
        <v>0</v>
      </c>
      <c r="G53" s="65"/>
    </row>
    <row r="54" spans="1:7">
      <c r="A54" s="75"/>
      <c r="B54" s="76"/>
      <c r="C54" s="121"/>
      <c r="D54" s="32"/>
      <c r="E54" s="33"/>
      <c r="F54" s="33"/>
      <c r="G54" s="65"/>
    </row>
    <row r="55" spans="1:7">
      <c r="A55" s="101">
        <v>8</v>
      </c>
      <c r="B55" s="287" t="s">
        <v>153</v>
      </c>
      <c r="C55" s="288"/>
      <c r="D55" s="288"/>
      <c r="E55" s="288"/>
      <c r="F55" s="289"/>
      <c r="G55" s="102">
        <f>+SUM(F57)</f>
        <v>0</v>
      </c>
    </row>
    <row r="56" spans="1:7">
      <c r="A56" s="75"/>
      <c r="B56" s="76"/>
      <c r="C56" s="121"/>
      <c r="D56" s="32"/>
      <c r="E56" s="33"/>
      <c r="F56" s="33"/>
      <c r="G56" s="65"/>
    </row>
    <row r="57" spans="1:7" ht="69" customHeight="1">
      <c r="A57" s="75" t="s">
        <v>73</v>
      </c>
      <c r="B57" s="76" t="s">
        <v>154</v>
      </c>
      <c r="C57" s="31" t="s">
        <v>68</v>
      </c>
      <c r="D57" s="32">
        <v>1</v>
      </c>
      <c r="E57" s="33"/>
      <c r="F57" s="33">
        <f>D57*E57</f>
        <v>0</v>
      </c>
      <c r="G57" s="65"/>
    </row>
    <row r="58" spans="1:7" ht="69" customHeight="1">
      <c r="A58" s="75"/>
      <c r="B58" s="76"/>
      <c r="C58" s="31"/>
      <c r="D58" s="32"/>
      <c r="E58" s="33"/>
      <c r="F58" s="33"/>
      <c r="G58" s="65"/>
    </row>
    <row r="59" spans="1:7">
      <c r="A59" s="101">
        <v>9</v>
      </c>
      <c r="B59" s="287" t="s">
        <v>155</v>
      </c>
      <c r="C59" s="288"/>
      <c r="D59" s="288"/>
      <c r="E59" s="288"/>
      <c r="F59" s="289"/>
      <c r="G59" s="102">
        <f>+SUM(F61:F62)</f>
        <v>0</v>
      </c>
    </row>
    <row r="60" spans="1:7">
      <c r="A60" s="75"/>
      <c r="B60" s="76"/>
      <c r="C60" s="31"/>
      <c r="D60" s="32"/>
      <c r="E60" s="33"/>
      <c r="F60" s="33"/>
      <c r="G60" s="65"/>
    </row>
    <row r="61" spans="1:7" ht="69" customHeight="1">
      <c r="A61" s="75" t="s">
        <v>76</v>
      </c>
      <c r="B61" s="125" t="s">
        <v>156</v>
      </c>
      <c r="C61" s="31" t="s">
        <v>68</v>
      </c>
      <c r="D61" s="32">
        <v>1</v>
      </c>
      <c r="E61" s="33"/>
      <c r="F61" s="33">
        <f>E61</f>
        <v>0</v>
      </c>
      <c r="G61" s="65"/>
    </row>
    <row r="62" spans="1:7" ht="59.25" customHeight="1">
      <c r="A62" s="75" t="s">
        <v>78</v>
      </c>
      <c r="B62" s="124" t="s">
        <v>157</v>
      </c>
      <c r="C62" s="31" t="s">
        <v>68</v>
      </c>
      <c r="D62" s="32">
        <v>1</v>
      </c>
      <c r="E62" s="33"/>
      <c r="F62" s="33">
        <f>D62*E62</f>
        <v>0</v>
      </c>
      <c r="G62" s="65"/>
    </row>
    <row r="63" spans="1:7" ht="16.5" customHeight="1">
      <c r="A63" s="75"/>
      <c r="B63" s="76"/>
      <c r="C63" s="31"/>
      <c r="D63" s="32"/>
      <c r="E63" s="33"/>
      <c r="F63" s="33"/>
      <c r="G63" s="65"/>
    </row>
    <row r="64" spans="1:7" ht="16.5" customHeight="1">
      <c r="A64" s="101">
        <v>10</v>
      </c>
      <c r="B64" s="287" t="s">
        <v>158</v>
      </c>
      <c r="C64" s="288"/>
      <c r="D64" s="288"/>
      <c r="E64" s="288"/>
      <c r="F64" s="289"/>
      <c r="G64" s="102">
        <f>+SUM(F66:F67)</f>
        <v>0</v>
      </c>
    </row>
    <row r="65" spans="1:7" ht="16.5" customHeight="1">
      <c r="A65" s="75"/>
      <c r="B65" s="76"/>
      <c r="C65" s="31"/>
      <c r="D65" s="32"/>
      <c r="E65" s="33"/>
      <c r="F65" s="33"/>
      <c r="G65" s="65"/>
    </row>
    <row r="66" spans="1:7" ht="56.25" customHeight="1">
      <c r="A66" s="75" t="s">
        <v>80</v>
      </c>
      <c r="B66" s="125" t="s">
        <v>159</v>
      </c>
      <c r="C66" s="31" t="s">
        <v>68</v>
      </c>
      <c r="D66" s="32">
        <v>1</v>
      </c>
      <c r="E66" s="33"/>
      <c r="F66" s="33">
        <f>+D66*E66</f>
        <v>0</v>
      </c>
      <c r="G66" s="65"/>
    </row>
    <row r="67" spans="1:7" ht="16.5" customHeight="1">
      <c r="A67" s="75" t="s">
        <v>160</v>
      </c>
      <c r="B67" s="124" t="s">
        <v>62</v>
      </c>
      <c r="C67" s="31" t="s">
        <v>114</v>
      </c>
      <c r="D67" s="32">
        <f>(1.8*0.6)</f>
        <v>1.08</v>
      </c>
      <c r="E67" s="33"/>
      <c r="F67" s="33">
        <f t="shared" ref="F67" si="3">D67*E67</f>
        <v>0</v>
      </c>
      <c r="G67" s="65"/>
    </row>
    <row r="68" spans="1:7" ht="16.5" customHeight="1">
      <c r="A68" s="75"/>
      <c r="B68" s="76"/>
      <c r="C68" s="31"/>
      <c r="D68" s="32"/>
      <c r="E68" s="33"/>
      <c r="F68" s="33"/>
      <c r="G68" s="65"/>
    </row>
    <row r="69" spans="1:7" ht="16.5" customHeight="1">
      <c r="A69" s="126">
        <v>11</v>
      </c>
      <c r="B69" s="306" t="s">
        <v>161</v>
      </c>
      <c r="C69" s="306"/>
      <c r="D69" s="306"/>
      <c r="E69" s="306"/>
      <c r="F69" s="306"/>
      <c r="G69" s="127">
        <f>+SUM(F71)</f>
        <v>0</v>
      </c>
    </row>
    <row r="70" spans="1:7" ht="37.5" customHeight="1">
      <c r="A70" s="128"/>
      <c r="B70" s="129"/>
      <c r="C70" s="130"/>
      <c r="D70" s="131"/>
      <c r="E70" s="132"/>
      <c r="F70" s="132"/>
      <c r="G70" s="133"/>
    </row>
    <row r="71" spans="1:7" ht="35.25" customHeight="1">
      <c r="A71" s="134" t="s">
        <v>83</v>
      </c>
      <c r="B71" s="124" t="s">
        <v>162</v>
      </c>
      <c r="C71" s="226" t="s">
        <v>85</v>
      </c>
      <c r="D71" s="227">
        <v>1</v>
      </c>
      <c r="E71" s="228"/>
      <c r="F71" s="33">
        <f t="shared" ref="F71" si="4">D71*E71</f>
        <v>0</v>
      </c>
      <c r="G71" s="144"/>
    </row>
    <row r="72" spans="1:7">
      <c r="A72" s="135"/>
      <c r="B72" s="135"/>
      <c r="C72" s="135"/>
      <c r="D72" s="135"/>
      <c r="E72" s="136"/>
      <c r="F72" s="136"/>
      <c r="G72" s="137"/>
    </row>
    <row r="73" spans="1:7">
      <c r="A73" s="101">
        <v>12</v>
      </c>
      <c r="B73" s="287" t="s">
        <v>166</v>
      </c>
      <c r="C73" s="288"/>
      <c r="D73" s="288"/>
      <c r="E73" s="288"/>
      <c r="F73" s="289"/>
      <c r="G73" s="102">
        <f>SUM(F75:F77)</f>
        <v>0</v>
      </c>
    </row>
    <row r="74" spans="1:7">
      <c r="A74" s="157"/>
      <c r="B74" s="129"/>
      <c r="C74" s="130"/>
      <c r="D74" s="131"/>
      <c r="E74" s="132"/>
      <c r="F74" s="132"/>
      <c r="G74" s="133"/>
    </row>
    <row r="75" spans="1:7" ht="41.4">
      <c r="A75" s="158" t="s">
        <v>110</v>
      </c>
      <c r="B75" s="76" t="s">
        <v>189</v>
      </c>
      <c r="C75" s="226" t="s">
        <v>85</v>
      </c>
      <c r="D75" s="32">
        <v>1</v>
      </c>
      <c r="E75" s="49"/>
      <c r="F75" s="49">
        <f>D75*E75</f>
        <v>0</v>
      </c>
      <c r="G75" s="159"/>
    </row>
    <row r="76" spans="1:7" ht="41.4">
      <c r="A76" s="158" t="s">
        <v>111</v>
      </c>
      <c r="B76" s="76" t="s">
        <v>202</v>
      </c>
      <c r="C76" s="226" t="s">
        <v>85</v>
      </c>
      <c r="D76" s="32">
        <v>1</v>
      </c>
      <c r="E76" s="49"/>
      <c r="F76" s="49">
        <f>D76*E76</f>
        <v>0</v>
      </c>
      <c r="G76" s="159"/>
    </row>
    <row r="77" spans="1:7" ht="41.4">
      <c r="A77" s="237"/>
      <c r="B77" s="76" t="s">
        <v>203</v>
      </c>
      <c r="C77" s="226" t="s">
        <v>85</v>
      </c>
      <c r="D77" s="32">
        <v>1</v>
      </c>
      <c r="E77" s="49"/>
      <c r="F77" s="49">
        <f>D77*E77</f>
        <v>0</v>
      </c>
      <c r="G77" s="159"/>
    </row>
    <row r="78" spans="1:7" ht="15" thickBot="1">
      <c r="A78" s="146"/>
      <c r="B78" s="147"/>
      <c r="C78" s="148"/>
      <c r="D78" s="149"/>
      <c r="E78" s="136"/>
      <c r="F78" s="136"/>
      <c r="G78" s="137"/>
    </row>
    <row r="79" spans="1:7">
      <c r="A79" s="150"/>
      <c r="B79" s="298"/>
      <c r="C79" s="299"/>
      <c r="D79" s="299"/>
      <c r="E79" s="299"/>
      <c r="F79" s="300"/>
      <c r="G79" s="301">
        <f>+SUM(G10:G78)</f>
        <v>0</v>
      </c>
    </row>
    <row r="80" spans="1:7" ht="15" thickBot="1">
      <c r="A80" s="151"/>
      <c r="B80" s="303" t="s">
        <v>86</v>
      </c>
      <c r="C80" s="304"/>
      <c r="D80" s="304"/>
      <c r="E80" s="304"/>
      <c r="F80" s="305"/>
      <c r="G80" s="302"/>
    </row>
  </sheetData>
  <mergeCells count="24">
    <mergeCell ref="B79:F79"/>
    <mergeCell ref="G79:G80"/>
    <mergeCell ref="B80:F80"/>
    <mergeCell ref="B33:F33"/>
    <mergeCell ref="B39:F39"/>
    <mergeCell ref="B50:F50"/>
    <mergeCell ref="B59:F59"/>
    <mergeCell ref="B69:F69"/>
    <mergeCell ref="B73:F73"/>
    <mergeCell ref="B55:F55"/>
    <mergeCell ref="B64:F64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5:F15"/>
    <mergeCell ref="B19:F19"/>
    <mergeCell ref="B28:F2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Lista</vt:lpstr>
      <vt:lpstr>CAP.0-ESTALEIRO</vt:lpstr>
      <vt:lpstr>Edson Lima Neves</vt:lpstr>
      <vt:lpstr>Jandira Helena Melo Lopes</vt:lpstr>
      <vt:lpstr>MARIA DE BRITO</vt:lpstr>
      <vt:lpstr>Elisangela Suzana Varela</vt:lpstr>
      <vt:lpstr>ADILSON SEMEDO</vt:lpstr>
      <vt:lpstr>PAULINO FURTADO</vt:lpstr>
      <vt:lpstr>Domingas Vaz Silva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MIOTH / Assessora - Amelvira Moreira Borges Tavares</dc:creator>
  <cp:lastModifiedBy>Carlos Pinheiro</cp:lastModifiedBy>
  <dcterms:created xsi:type="dcterms:W3CDTF">2022-06-10T13:18:18Z</dcterms:created>
  <dcterms:modified xsi:type="dcterms:W3CDTF">2024-01-05T16:03:12Z</dcterms:modified>
</cp:coreProperties>
</file>