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 Pinheiro\Desktop\Dossier Concurso_Eugenio Lima\Dossier Concurso_Eugénio Lima_Lote 1 e 2\1_Mapa de medições\"/>
    </mc:Choice>
  </mc:AlternateContent>
  <bookViews>
    <workbookView xWindow="0" yWindow="0" windowWidth="23040" windowHeight="9072" tabRatio="839"/>
  </bookViews>
  <sheets>
    <sheet name="Lista" sheetId="43" r:id="rId1"/>
    <sheet name="CAP.0-ESTALEIRO" sheetId="51" r:id="rId2"/>
    <sheet name="PAULA MONTEIRO" sheetId="32" r:id="rId3"/>
    <sheet name="Maria Baptista Mendes Costa" sheetId="44" r:id="rId4"/>
    <sheet name="RAISA GOMES" sheetId="42" r:id="rId5"/>
    <sheet name="CATARINA RODRUIGUES" sheetId="40" r:id="rId6"/>
    <sheet name="Anabela Martins Vaz" sheetId="45" r:id="rId7"/>
    <sheet name="Adriana Tavares Furtado" sheetId="46" r:id="rId8"/>
    <sheet name="Gabriela da Costa Evora" sheetId="47" r:id="rId9"/>
    <sheet name="Rosalina da Conceiçao Silva" sheetId="48" r:id="rId10"/>
    <sheet name="Ondina da Veiga Semedo Cardoso" sheetId="50" r:id="rId11"/>
  </sheets>
  <definedNames>
    <definedName name="_xlnm.Print_Titles" localSheetId="5">'CATARINA RODRUIGUES'!#REF!</definedName>
    <definedName name="_xlnm.Print_Titles" localSheetId="2">'PAULA MONTEIRO'!#REF!</definedName>
    <definedName name="_xlnm.Print_Titles" localSheetId="4">'RAISA GOMES'!#REF!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1" l="1"/>
  <c r="G8" i="51" l="1"/>
  <c r="G12" i="51" s="1"/>
  <c r="F77" i="50" l="1"/>
  <c r="D76" i="50"/>
  <c r="F76" i="50" s="1"/>
  <c r="G74" i="50" s="1"/>
  <c r="F72" i="50"/>
  <c r="F71" i="50"/>
  <c r="F70" i="50"/>
  <c r="F69" i="50"/>
  <c r="F68" i="50"/>
  <c r="G66" i="50"/>
  <c r="F64" i="50"/>
  <c r="F63" i="50"/>
  <c r="F62" i="50"/>
  <c r="G60" i="50"/>
  <c r="F58" i="50"/>
  <c r="D58" i="50"/>
  <c r="F57" i="50"/>
  <c r="F53" i="50"/>
  <c r="F52" i="50"/>
  <c r="F51" i="50"/>
  <c r="F50" i="50"/>
  <c r="G48" i="50"/>
  <c r="F46" i="50"/>
  <c r="F45" i="50"/>
  <c r="G43" i="50"/>
  <c r="F41" i="50"/>
  <c r="G39" i="50"/>
  <c r="F37" i="50"/>
  <c r="F36" i="50"/>
  <c r="F35" i="50"/>
  <c r="F33" i="50"/>
  <c r="D33" i="50"/>
  <c r="D32" i="50"/>
  <c r="F32" i="50" s="1"/>
  <c r="D31" i="50"/>
  <c r="F31" i="50" s="1"/>
  <c r="D30" i="50"/>
  <c r="F30" i="50" s="1"/>
  <c r="D25" i="50"/>
  <c r="F25" i="50" s="1"/>
  <c r="D24" i="50"/>
  <c r="F24" i="50" s="1"/>
  <c r="D23" i="50"/>
  <c r="F23" i="50" s="1"/>
  <c r="D22" i="50"/>
  <c r="F22" i="50" s="1"/>
  <c r="D21" i="50"/>
  <c r="F21" i="50" s="1"/>
  <c r="D20" i="50"/>
  <c r="F20" i="50" s="1"/>
  <c r="D16" i="50"/>
  <c r="F16" i="50" s="1"/>
  <c r="D15" i="50"/>
  <c r="F15" i="50" s="1"/>
  <c r="D10" i="50"/>
  <c r="F10" i="50" s="1"/>
  <c r="G8" i="50" s="1"/>
  <c r="F82" i="48"/>
  <c r="G80" i="48"/>
  <c r="F78" i="48"/>
  <c r="F77" i="48"/>
  <c r="F76" i="48"/>
  <c r="F75" i="48"/>
  <c r="F74" i="48"/>
  <c r="F73" i="48"/>
  <c r="F72" i="48"/>
  <c r="G70" i="48"/>
  <c r="F68" i="48"/>
  <c r="F67" i="48"/>
  <c r="G65" i="48"/>
  <c r="D63" i="48"/>
  <c r="F63" i="48" s="1"/>
  <c r="F62" i="48"/>
  <c r="G60" i="48" s="1"/>
  <c r="F58" i="48"/>
  <c r="F57" i="48"/>
  <c r="F56" i="48"/>
  <c r="F55" i="48"/>
  <c r="G53" i="48"/>
  <c r="F51" i="48"/>
  <c r="F50" i="48"/>
  <c r="G48" i="48"/>
  <c r="F46" i="48"/>
  <c r="G44" i="48"/>
  <c r="F42" i="48"/>
  <c r="F41" i="48"/>
  <c r="F40" i="48"/>
  <c r="F38" i="48"/>
  <c r="D38" i="48"/>
  <c r="D37" i="48"/>
  <c r="F37" i="48" s="1"/>
  <c r="F36" i="48"/>
  <c r="D36" i="48"/>
  <c r="D35" i="48"/>
  <c r="F35" i="48" s="1"/>
  <c r="D30" i="48"/>
  <c r="F30" i="48" s="1"/>
  <c r="D29" i="48"/>
  <c r="F29" i="48" s="1"/>
  <c r="D28" i="48"/>
  <c r="F28" i="48" s="1"/>
  <c r="D27" i="48"/>
  <c r="F27" i="48" s="1"/>
  <c r="D26" i="48"/>
  <c r="F26" i="48" s="1"/>
  <c r="D25" i="48"/>
  <c r="F25" i="48" s="1"/>
  <c r="G23" i="48" s="1"/>
  <c r="D21" i="48"/>
  <c r="F21" i="48" s="1"/>
  <c r="G19" i="48" s="1"/>
  <c r="D17" i="48"/>
  <c r="F17" i="48" s="1"/>
  <c r="D16" i="48"/>
  <c r="F16" i="48" s="1"/>
  <c r="D15" i="48"/>
  <c r="F15" i="48" s="1"/>
  <c r="G12" i="48" s="1"/>
  <c r="F10" i="48"/>
  <c r="G8" i="48" s="1"/>
  <c r="D10" i="48"/>
  <c r="F85" i="47"/>
  <c r="D84" i="47"/>
  <c r="F84" i="47" s="1"/>
  <c r="G82" i="47" s="1"/>
  <c r="F80" i="47"/>
  <c r="F79" i="47"/>
  <c r="G77" i="47"/>
  <c r="F75" i="47"/>
  <c r="F74" i="47"/>
  <c r="F73" i="47"/>
  <c r="G71" i="47"/>
  <c r="D69" i="47"/>
  <c r="F69" i="47" s="1"/>
  <c r="F68" i="47"/>
  <c r="F64" i="47"/>
  <c r="F63" i="47"/>
  <c r="F62" i="47"/>
  <c r="F61" i="47"/>
  <c r="G59" i="47"/>
  <c r="F57" i="47"/>
  <c r="F56" i="47"/>
  <c r="G54" i="47"/>
  <c r="F52" i="47"/>
  <c r="G50" i="47"/>
  <c r="F48" i="47"/>
  <c r="F47" i="47"/>
  <c r="F46" i="47"/>
  <c r="D44" i="47"/>
  <c r="F44" i="47" s="1"/>
  <c r="F43" i="47"/>
  <c r="D43" i="47"/>
  <c r="D42" i="47"/>
  <c r="F42" i="47" s="1"/>
  <c r="D41" i="47"/>
  <c r="F41" i="47" s="1"/>
  <c r="G38" i="47" s="1"/>
  <c r="D36" i="47"/>
  <c r="F36" i="47" s="1"/>
  <c r="D35" i="47"/>
  <c r="F35" i="47" s="1"/>
  <c r="D34" i="47"/>
  <c r="F34" i="47" s="1"/>
  <c r="D33" i="47"/>
  <c r="F33" i="47" s="1"/>
  <c r="D32" i="47"/>
  <c r="F32" i="47" s="1"/>
  <c r="D28" i="47"/>
  <c r="F28" i="47" s="1"/>
  <c r="D27" i="47"/>
  <c r="F27" i="47" s="1"/>
  <c r="G25" i="47" s="1"/>
  <c r="D23" i="47"/>
  <c r="F23" i="47" s="1"/>
  <c r="D22" i="47"/>
  <c r="F22" i="47" s="1"/>
  <c r="D21" i="47"/>
  <c r="F21" i="47" s="1"/>
  <c r="D20" i="47"/>
  <c r="F20" i="47" s="1"/>
  <c r="D18" i="47"/>
  <c r="F18" i="47" s="1"/>
  <c r="G16" i="47" s="1"/>
  <c r="D14" i="47"/>
  <c r="F14" i="47" s="1"/>
  <c r="G12" i="47" s="1"/>
  <c r="D10" i="47"/>
  <c r="F10" i="47" s="1"/>
  <c r="G8" i="47" s="1"/>
  <c r="F83" i="45"/>
  <c r="G81" i="45"/>
  <c r="F79" i="45"/>
  <c r="F78" i="45"/>
  <c r="G76" i="45"/>
  <c r="F74" i="45"/>
  <c r="F73" i="45"/>
  <c r="F72" i="45"/>
  <c r="F71" i="45"/>
  <c r="F70" i="45"/>
  <c r="F69" i="45"/>
  <c r="F68" i="45"/>
  <c r="F67" i="45"/>
  <c r="F66" i="45"/>
  <c r="F65" i="45"/>
  <c r="G62" i="45" s="1"/>
  <c r="F64" i="45"/>
  <c r="D60" i="45"/>
  <c r="F60" i="45" s="1"/>
  <c r="F59" i="45"/>
  <c r="F55" i="45"/>
  <c r="G53" i="45"/>
  <c r="F51" i="45"/>
  <c r="F50" i="45"/>
  <c r="G48" i="45"/>
  <c r="F46" i="45"/>
  <c r="G44" i="45"/>
  <c r="F42" i="45"/>
  <c r="G39" i="45"/>
  <c r="F37" i="45"/>
  <c r="D37" i="45"/>
  <c r="D36" i="45"/>
  <c r="F36" i="45" s="1"/>
  <c r="D35" i="45"/>
  <c r="F35" i="45" s="1"/>
  <c r="D34" i="45"/>
  <c r="F34" i="45" s="1"/>
  <c r="D30" i="45"/>
  <c r="F30" i="45" s="1"/>
  <c r="G28" i="45" s="1"/>
  <c r="D26" i="45"/>
  <c r="F26" i="45" s="1"/>
  <c r="D25" i="45"/>
  <c r="F25" i="45" s="1"/>
  <c r="F24" i="45"/>
  <c r="D24" i="45"/>
  <c r="D23" i="45"/>
  <c r="F23" i="45" s="1"/>
  <c r="D21" i="45"/>
  <c r="F21" i="45" s="1"/>
  <c r="D17" i="45"/>
  <c r="F17" i="45" s="1"/>
  <c r="G15" i="45" s="1"/>
  <c r="D13" i="45"/>
  <c r="F13" i="45" s="1"/>
  <c r="D12" i="45"/>
  <c r="F12" i="45" s="1"/>
  <c r="D11" i="45"/>
  <c r="F11" i="45" s="1"/>
  <c r="F10" i="45"/>
  <c r="G8" i="45" s="1"/>
  <c r="D10" i="45"/>
  <c r="G18" i="50" l="1"/>
  <c r="G12" i="50"/>
  <c r="G32" i="48"/>
  <c r="G84" i="48"/>
  <c r="G66" i="47"/>
  <c r="G57" i="45"/>
  <c r="G32" i="45"/>
  <c r="G19" i="45"/>
  <c r="G27" i="50"/>
  <c r="G79" i="50" s="1"/>
  <c r="G30" i="47"/>
  <c r="G87" i="47" l="1"/>
  <c r="G85" i="45"/>
  <c r="F60" i="40"/>
  <c r="F59" i="40"/>
  <c r="G57" i="40"/>
  <c r="F55" i="40"/>
  <c r="G53" i="40"/>
  <c r="D51" i="40"/>
  <c r="F51" i="40" s="1"/>
  <c r="G48" i="40" s="1"/>
  <c r="F50" i="40"/>
  <c r="F46" i="40"/>
  <c r="G44" i="40"/>
  <c r="F42" i="40"/>
  <c r="F41" i="40"/>
  <c r="G39" i="40"/>
  <c r="F37" i="40"/>
  <c r="G35" i="40" s="1"/>
  <c r="D33" i="40"/>
  <c r="F33" i="40" s="1"/>
  <c r="F32" i="40"/>
  <c r="G29" i="40" s="1"/>
  <c r="D27" i="40"/>
  <c r="F27" i="40" s="1"/>
  <c r="D26" i="40"/>
  <c r="F26" i="40" s="1"/>
  <c r="F22" i="40"/>
  <c r="G20" i="40" s="1"/>
  <c r="D18" i="40"/>
  <c r="F18" i="40" s="1"/>
  <c r="D17" i="40"/>
  <c r="F17" i="40" s="1"/>
  <c r="G14" i="40" s="1"/>
  <c r="F12" i="40"/>
  <c r="G10" i="40" s="1"/>
  <c r="F65" i="42"/>
  <c r="G63" i="42"/>
  <c r="F61" i="42"/>
  <c r="G58" i="42" s="1"/>
  <c r="F60" i="42"/>
  <c r="D56" i="42"/>
  <c r="F56" i="42" s="1"/>
  <c r="F55" i="42"/>
  <c r="F51" i="42"/>
  <c r="F50" i="42"/>
  <c r="G48" i="42"/>
  <c r="F46" i="42"/>
  <c r="G44" i="42"/>
  <c r="F42" i="42"/>
  <c r="G40" i="42" s="1"/>
  <c r="D38" i="42"/>
  <c r="F38" i="42" s="1"/>
  <c r="G31" i="42" s="1"/>
  <c r="F37" i="42"/>
  <c r="F36" i="42"/>
  <c r="F35" i="42"/>
  <c r="F34" i="42"/>
  <c r="F29" i="42"/>
  <c r="D28" i="42"/>
  <c r="F28" i="42" s="1"/>
  <c r="G26" i="42" s="1"/>
  <c r="F24" i="42"/>
  <c r="D23" i="42"/>
  <c r="F23" i="42" s="1"/>
  <c r="F19" i="42"/>
  <c r="D19" i="42"/>
  <c r="D18" i="42"/>
  <c r="F18" i="42" s="1"/>
  <c r="G15" i="42" s="1"/>
  <c r="F13" i="42"/>
  <c r="D12" i="42"/>
  <c r="F12" i="42" s="1"/>
  <c r="G10" i="42" s="1"/>
  <c r="G53" i="42" l="1"/>
  <c r="G21" i="42"/>
  <c r="G67" i="42" s="1"/>
  <c r="G24" i="40"/>
  <c r="G62" i="40" s="1"/>
  <c r="F78" i="32" l="1"/>
  <c r="G77" i="32"/>
  <c r="F75" i="32"/>
  <c r="F74" i="32"/>
  <c r="G72" i="32"/>
  <c r="F70" i="32"/>
  <c r="F69" i="32"/>
  <c r="F68" i="32"/>
  <c r="G66" i="32"/>
  <c r="D64" i="32"/>
  <c r="F64" i="32" s="1"/>
  <c r="F63" i="32"/>
  <c r="F59" i="32"/>
  <c r="F58" i="32"/>
  <c r="G56" i="32" s="1"/>
  <c r="F54" i="32"/>
  <c r="G52" i="32"/>
  <c r="F50" i="32"/>
  <c r="G48" i="32"/>
  <c r="D46" i="32"/>
  <c r="F46" i="32" s="1"/>
  <c r="G39" i="32" s="1"/>
  <c r="F45" i="32"/>
  <c r="F44" i="32"/>
  <c r="F43" i="32"/>
  <c r="F42" i="32"/>
  <c r="F37" i="32"/>
  <c r="F36" i="32"/>
  <c r="D35" i="32"/>
  <c r="F35" i="32" s="1"/>
  <c r="D34" i="32"/>
  <c r="F34" i="32" s="1"/>
  <c r="G32" i="32" s="1"/>
  <c r="F30" i="32"/>
  <c r="D29" i="32"/>
  <c r="F29" i="32" s="1"/>
  <c r="G27" i="32" s="1"/>
  <c r="D25" i="32"/>
  <c r="F25" i="32" s="1"/>
  <c r="D24" i="32"/>
  <c r="F24" i="32" s="1"/>
  <c r="D23" i="32"/>
  <c r="F23" i="32" s="1"/>
  <c r="D22" i="32"/>
  <c r="F22" i="32" s="1"/>
  <c r="F20" i="32"/>
  <c r="D20" i="32"/>
  <c r="D16" i="32"/>
  <c r="F16" i="32" s="1"/>
  <c r="G14" i="32" s="1"/>
  <c r="F12" i="32"/>
  <c r="G10" i="32" s="1"/>
  <c r="D56" i="46"/>
  <c r="F56" i="46" s="1"/>
  <c r="D39" i="46"/>
  <c r="F39" i="46" s="1"/>
  <c r="D33" i="46"/>
  <c r="F33" i="46" s="1"/>
  <c r="D32" i="46"/>
  <c r="F32" i="46" s="1"/>
  <c r="G61" i="32" l="1"/>
  <c r="G18" i="32"/>
  <c r="G80" i="32" s="1"/>
  <c r="F64" i="46"/>
  <c r="F41" i="44"/>
  <c r="F63" i="46" l="1"/>
  <c r="F62" i="46"/>
  <c r="F61" i="46"/>
  <c r="F60" i="46"/>
  <c r="F71" i="46"/>
  <c r="F69" i="46"/>
  <c r="F68" i="46"/>
  <c r="D37" i="44"/>
  <c r="F37" i="44"/>
  <c r="F52" i="44" l="1"/>
  <c r="G50" i="44" s="1"/>
  <c r="G39" i="44" l="1"/>
  <c r="F45" i="44"/>
  <c r="F46" i="44"/>
  <c r="D20" i="44"/>
  <c r="D18" i="44"/>
  <c r="F18" i="44" s="1"/>
  <c r="D19" i="44" l="1"/>
  <c r="F19" i="44" s="1"/>
  <c r="F20" i="44"/>
  <c r="F48" i="44" l="1"/>
  <c r="F47" i="44"/>
  <c r="F36" i="44"/>
  <c r="G34" i="44" s="1"/>
  <c r="F32" i="44"/>
  <c r="G30" i="44" s="1"/>
  <c r="F28" i="44"/>
  <c r="G26" i="44"/>
  <c r="F24" i="44"/>
  <c r="F23" i="44"/>
  <c r="G15" i="44" s="1"/>
  <c r="F22" i="44"/>
  <c r="D13" i="44"/>
  <c r="F13" i="44" s="1"/>
  <c r="D12" i="44"/>
  <c r="F12" i="44" s="1"/>
  <c r="F70" i="46"/>
  <c r="G66" i="46" s="1"/>
  <c r="G58" i="46"/>
  <c r="F55" i="46"/>
  <c r="G53" i="46" s="1"/>
  <c r="F51" i="46"/>
  <c r="G49" i="46"/>
  <c r="F47" i="46"/>
  <c r="G45" i="46" s="1"/>
  <c r="F43" i="46"/>
  <c r="G41" i="46" s="1"/>
  <c r="D37" i="46"/>
  <c r="D31" i="46"/>
  <c r="F31" i="46" s="1"/>
  <c r="G29" i="46" s="1"/>
  <c r="D27" i="46"/>
  <c r="F27" i="46" s="1"/>
  <c r="D26" i="46"/>
  <c r="F26" i="46" s="1"/>
  <c r="D25" i="46"/>
  <c r="F25" i="46" s="1"/>
  <c r="D24" i="46"/>
  <c r="F24" i="46" s="1"/>
  <c r="D22" i="46"/>
  <c r="F22" i="46" s="1"/>
  <c r="D18" i="46"/>
  <c r="F18" i="46" s="1"/>
  <c r="G16" i="46" s="1"/>
  <c r="D14" i="46"/>
  <c r="F14" i="46" s="1"/>
  <c r="D13" i="46"/>
  <c r="F13" i="46" s="1"/>
  <c r="D12" i="46"/>
  <c r="G20" i="46" l="1"/>
  <c r="F37" i="46"/>
  <c r="D38" i="46"/>
  <c r="F38" i="46" s="1"/>
  <c r="F12" i="46"/>
  <c r="G10" i="46" s="1"/>
  <c r="G43" i="44"/>
  <c r="G10" i="44"/>
  <c r="G35" i="46" l="1"/>
  <c r="G73" i="46" s="1"/>
  <c r="G54" i="44"/>
</calcChain>
</file>

<file path=xl/comments1.xml><?xml version="1.0" encoding="utf-8"?>
<comments xmlns="http://schemas.openxmlformats.org/spreadsheetml/2006/main">
  <authors>
    <author>DGH</author>
  </authors>
  <commentList>
    <comment ref="B24" authorId="0" shapeId="0">
      <text>
        <r>
          <rPr>
            <b/>
            <sz val="9"/>
            <color indexed="81"/>
            <rFont val="Tahoma"/>
            <family val="2"/>
          </rPr>
          <t>DGH:</t>
        </r>
        <r>
          <rPr>
            <sz val="9"/>
            <color indexed="81"/>
            <rFont val="Tahoma"/>
            <family val="2"/>
          </rPr>
          <t xml:space="preserve">
Especificar para casos mais concretos (ex uando falte apenas uma peça da sanita tipo tampa ou autoclismo)
</t>
        </r>
      </text>
    </comment>
  </commentList>
</comments>
</file>

<file path=xl/sharedStrings.xml><?xml version="1.0" encoding="utf-8"?>
<sst xmlns="http://schemas.openxmlformats.org/spreadsheetml/2006/main" count="1126" uniqueCount="316">
  <si>
    <t>REQ.</t>
  </si>
  <si>
    <t>LOCAL</t>
  </si>
  <si>
    <t>OBRA</t>
  </si>
  <si>
    <t>PROPR.</t>
  </si>
  <si>
    <t>Art.</t>
  </si>
  <si>
    <t>Designação</t>
  </si>
  <si>
    <t>Un.</t>
  </si>
  <si>
    <t>Quant.</t>
  </si>
  <si>
    <t>Preço Unitário</t>
  </si>
  <si>
    <t>Importância</t>
  </si>
  <si>
    <t>Designação dos Trabalhos</t>
  </si>
  <si>
    <t>Un</t>
  </si>
  <si>
    <t>Quantid.</t>
  </si>
  <si>
    <t>Por Artigo</t>
  </si>
  <si>
    <t>Por Capítulo</t>
  </si>
  <si>
    <t>CAP I - TRABALHOS PREPARATÓRIOS / DEMOLIÇÃO</t>
  </si>
  <si>
    <t>1.1</t>
  </si>
  <si>
    <t>1.2</t>
  </si>
  <si>
    <t>2.1</t>
  </si>
  <si>
    <t>Fornecimento e aplicação de betão C25/30 (B30), S3 em elementos estruturais, incluindo armadura em aço A500NR e cofragem mista de madeira e metálica, uso de vibrador de agulha, testes, todos os trabalhos e acessórios complementares, correta aplicação da sua desmontagem e cura:</t>
  </si>
  <si>
    <t>Sapatas</t>
  </si>
  <si>
    <t>Pilares</t>
  </si>
  <si>
    <t>Vigas</t>
  </si>
  <si>
    <t>Lajes Maciças</t>
  </si>
  <si>
    <t>3.1</t>
  </si>
  <si>
    <t>3.2</t>
  </si>
  <si>
    <t>4.1</t>
  </si>
  <si>
    <t>5.1</t>
  </si>
  <si>
    <t>vg</t>
  </si>
  <si>
    <t xml:space="preserve">Equipamentos Sanitários incluindo </t>
  </si>
  <si>
    <t>Fornecimento e assentamento de lavatórios, incluindo torneiras, prever todos os acessórios de fixação, ligações a rede de água e esgoto, assim como o respectivo ensaio de modo a funcionar nas perfeitas condições.</t>
  </si>
  <si>
    <t>Fornecimento e assentamento de sanita, incluindo autoclismo, prever todos os acessórios de fixação, ligações a rede de água e esgoto, assim como o respectivo ensaio de modo a funcionar nas perfeitas condições.</t>
  </si>
  <si>
    <t>6.1</t>
  </si>
  <si>
    <t>7.1</t>
  </si>
  <si>
    <t>TOTAL GERAL:</t>
  </si>
  <si>
    <t>Fornecimento e execução de salpico e reboco de paredes interiores e exteriores com argamassa de cimento e areia ao traço de 1:4 incluíndo execução de arestas e todos os trabalhos e meios necessários para sua boa execução.</t>
  </si>
  <si>
    <t>8.1</t>
  </si>
  <si>
    <t>9.1</t>
  </si>
  <si>
    <t>CAP II - TERRAPLENAGEM / ESCAVAÇÃO</t>
  </si>
  <si>
    <t>CAP III - ESTRUTURAS DE BETÃO</t>
  </si>
  <si>
    <t>3.2.1</t>
  </si>
  <si>
    <t>3.2.2</t>
  </si>
  <si>
    <t>3.2.3</t>
  </si>
  <si>
    <t>3.2.4</t>
  </si>
  <si>
    <t>10.1</t>
  </si>
  <si>
    <t>11.1</t>
  </si>
  <si>
    <t>EUGÉNIO LIMA - MUNICÍPIO DA PRAIA</t>
  </si>
  <si>
    <t>2.1.1</t>
  </si>
  <si>
    <t>2.1.2</t>
  </si>
  <si>
    <t xml:space="preserve">CAP IV - ALVENARIA </t>
  </si>
  <si>
    <t xml:space="preserve">CAP V - REVESTIMENTO </t>
  </si>
  <si>
    <t>5.2</t>
  </si>
  <si>
    <t xml:space="preserve">CAP XI - CAIXILHARIA (Reabilitação) </t>
  </si>
  <si>
    <t>CAP VI - ELETRICIDADE</t>
  </si>
  <si>
    <t xml:space="preserve">CAP VII - REDE DE ÁGUA </t>
  </si>
  <si>
    <t>CAP VIII - REDE DE ESGOTO</t>
  </si>
  <si>
    <t>CAP IX - COZINHA</t>
  </si>
  <si>
    <t xml:space="preserve">CAP X - CAIXILHARIA (Reabilitação) </t>
  </si>
  <si>
    <t>Nº</t>
  </si>
  <si>
    <t>Benificiária (o)</t>
  </si>
  <si>
    <t>CAP XI - CARPINTARIA</t>
  </si>
  <si>
    <t>11.2</t>
  </si>
  <si>
    <t>Paula Monteiro</t>
  </si>
  <si>
    <t>Raisa Darlene Gomes</t>
  </si>
  <si>
    <t>Catarina Semedo Rodrigues</t>
  </si>
  <si>
    <t>Anabela Martins Vaz</t>
  </si>
  <si>
    <t>Adriana Tavares Furtado</t>
  </si>
  <si>
    <t>Gabriela da Costa Evora</t>
  </si>
  <si>
    <t>Rosalina da Conceiçao Silva Fernandes</t>
  </si>
  <si>
    <t>Ondina da Veiga Semedo Cardoso</t>
  </si>
  <si>
    <t>7.2</t>
  </si>
  <si>
    <r>
      <t>m</t>
    </r>
    <r>
      <rPr>
        <vertAlign val="superscript"/>
        <sz val="1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</si>
  <si>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Demolição de</t>
    </r>
    <r>
      <rPr>
        <b/>
        <sz val="10"/>
        <rFont val="Calibri"/>
        <family val="2"/>
        <scheme val="minor"/>
      </rPr>
      <t xml:space="preserve"> parede de bloco</t>
    </r>
    <r>
      <rPr>
        <sz val="10"/>
        <rFont val="Calibri"/>
        <family val="2"/>
        <scheme val="minor"/>
      </rPr>
      <t xml:space="preserve"> existente, incluindo escoramento da estrutura existente, a remoção e transporte de entulho para o vazadouro municipal.</t>
    </r>
  </si>
  <si>
    <t>1.3</t>
  </si>
  <si>
    <r>
      <t>m</t>
    </r>
    <r>
      <rPr>
        <vertAlign val="superscript"/>
        <sz val="10"/>
        <rFont val="Calibri"/>
        <family val="2"/>
        <scheme val="minor"/>
      </rPr>
      <t>3</t>
    </r>
  </si>
  <si>
    <t>Escavação de terreno de qualquer natureza para execução de fundação 0.80 de largura, incluindo remoção e transporte de material sobrante</t>
  </si>
  <si>
    <t xml:space="preserve">un </t>
  </si>
  <si>
    <t>un</t>
  </si>
  <si>
    <t>Fornecimento de bancada de cozinha (executada com tampa betão á vista e laterais em parede de 10 cm de espessura), lava loiças (1 cuba), incluindo os seus acessórios, conforme o projeto de arquitetura.</t>
  </si>
  <si>
    <t>Revestimentos</t>
  </si>
  <si>
    <t>Fornecimento e assentamento de base de duche de pavimento, prever todos os acessórios de fixação, ligações a rede de água e esgoto, assim como o respectivo ensaio de modo a funcionar nas perfeitas condições.</t>
  </si>
  <si>
    <t>7.3</t>
  </si>
  <si>
    <t>7.4</t>
  </si>
  <si>
    <t>10.2</t>
  </si>
  <si>
    <t>2.1.3</t>
  </si>
  <si>
    <t>ADRIANA TAVARES FURTADO</t>
  </si>
  <si>
    <r>
      <t xml:space="preserve">Demolição da </t>
    </r>
    <r>
      <rPr>
        <b/>
        <sz val="10"/>
        <rFont val="Calibri"/>
        <family val="2"/>
        <scheme val="minor"/>
      </rPr>
      <t>laje em betão armado</t>
    </r>
    <r>
      <rPr>
        <sz val="10"/>
        <rFont val="Calibri"/>
        <family val="2"/>
        <scheme val="minor"/>
      </rPr>
      <t>, incluindo escoramento da estrutura existente, a remoção e transporte de entulho para o vazadouro municipal.</t>
    </r>
  </si>
  <si>
    <r>
      <t xml:space="preserve">Remoção de cobertura em </t>
    </r>
    <r>
      <rPr>
        <b/>
        <sz val="10"/>
        <rFont val="Calibri"/>
        <family val="2"/>
        <scheme val="minor"/>
      </rPr>
      <t>material precaria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</si>
  <si>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r>
      <t>Demolição pontual de</t>
    </r>
    <r>
      <rPr>
        <b/>
        <sz val="10"/>
        <rFont val="Calibri"/>
        <family val="2"/>
        <scheme val="minor"/>
      </rPr>
      <t xml:space="preserve"> muros de pedra</t>
    </r>
    <r>
      <rPr>
        <sz val="10"/>
        <rFont val="Calibri"/>
        <family val="2"/>
        <scheme val="minor"/>
      </rPr>
      <t xml:space="preserve"> seca existentes, incluindo todos os trabalhos acessórios complementares, carga e transporte a  para o vazadouro municipal.</t>
    </r>
  </si>
  <si>
    <t>Fornecimento e colocação de betão de limpeza, incluindo todos os trabalhos e meios necessários para a sua boa execução.</t>
  </si>
  <si>
    <t>Execução de alvenarias em blocos (20x20x40 cm)  de betão, assentes com argamassa de cimento e areia ao traço 1:4, incluindo todos os trabalhos e acessórios complementares.</t>
  </si>
  <si>
    <t>Reposição e instalação de tubagens e fios em
lajes para pontos de iluminação e acesso a
rede, incluindo todos os trabalhos e acessórios complementares.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</si>
  <si>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os acessórios, ligações e todos os trabalhos acessórios necessários para um bom funcionamento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</si>
  <si>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 xml:space="preserve">, incluindo tubagens PVC, abertura e tapamentos de roços, acessórios, ligações e todos os trabalhos acessórios necessários para o seu bom funcionamento. </t>
    </r>
  </si>
  <si>
    <t>MARIA BAPTISTA MENDES COSTA</t>
  </si>
  <si>
    <t>CAP II -INSTALAÇÃO SANITÁRIA (WC)</t>
  </si>
  <si>
    <t>2.2</t>
  </si>
  <si>
    <t xml:space="preserve">CAP III - REDE DE ÁGUA </t>
  </si>
  <si>
    <t>Fornecimento e instalação de rede de água, incluindo os acessórios, ligações e todos os trabalhos acessórios necessários para um bom funcionamento</t>
  </si>
  <si>
    <t>CAP IV - REDE DE ESGOTO</t>
  </si>
  <si>
    <t xml:space="preserve">Fornecimento e instalação de rede de esgoto, incluindo tubagens PVC, abertura e tapamentos de roços, acessórios, ligações e todos os trabalhos acessórios necessários para o seu bom funcionamento. </t>
  </si>
  <si>
    <t>CAP V - COZINHA</t>
  </si>
  <si>
    <t>Maria Baptista Mendes Costa</t>
  </si>
  <si>
    <t>Fornecimento e assentamento de azulejo, cor a definir com 30x30cm, prever assentamento com cimento-cola, após a secagem da base, cortes remates e betumes</t>
  </si>
  <si>
    <t>Betonilha de regularização com argamassa de cimento e areia com 0,03m de espessura, para revestir com mosaico, nas instalações sanitarias.</t>
  </si>
  <si>
    <t>Fornecimento e assentamento de mosaico antederrapante, assentamento com cimento-cola, após a secagem da base, cortes remates e betumes.</t>
  </si>
  <si>
    <t>Fornecimento e colocação de janela (0.6*0.6), incluindo todos os trabalhos acessórios e complementares.</t>
  </si>
  <si>
    <t>Fornecimento e colocação de Porta (0.8*2.1), incluindo todos os trabalhos acessórios e complementares.</t>
  </si>
  <si>
    <t>Fornecimento e colocação de Porta (0.75*2.1), incluindo todos os trabalhos acessórios e complementares.</t>
  </si>
  <si>
    <t>Fornecimento e colocação de Porta (0.91*2.1), incluindo todos os trabalhos acessórios e complementares.</t>
  </si>
  <si>
    <t>Reparação de porta (0.81*2.1) do interior, através da correção de desenquadramentos e substituição de ferragens deterioradas. Incluindo reposição de revestimentos e pinturas.</t>
  </si>
  <si>
    <t>6</t>
  </si>
  <si>
    <t>CAP VII - CARPINTARIA</t>
  </si>
  <si>
    <t xml:space="preserve">Execução de claraboia retangular de secção com dimensões equivalentes á abertura na laje / saguão. Com cobertura de telha translucida (polipropereno) e base em alvenaria de bloco, em conformidade com o projeto de arquitetura. Incluindo todos os trabalhos e acessórios necessários ao seu perfeito funcionamento e acabamento final. </t>
  </si>
  <si>
    <t>CAP VIII - CLARABOIA</t>
  </si>
  <si>
    <t>Data: OUTUBRO DE 2023</t>
  </si>
  <si>
    <t>Fornecimento e colocação de Porta (0.69*2.1), incluindo todos os trabalhos acessórios e complementares.</t>
  </si>
  <si>
    <t>11.3</t>
  </si>
  <si>
    <t>Fornecimento e colocação de Portas (0.9*2.1), incluindo todos os trabalhos acessórios e complementares.</t>
  </si>
  <si>
    <t>11.4</t>
  </si>
  <si>
    <t>Fornecimento e colocação de janela (1*1),  todos os trabalhos acessórios e complementares.</t>
  </si>
  <si>
    <t>Reparação de porta (0.7*2.1) do interior, através da correção de desenquadramentos e substituição de ferragens deterioradas. Incluindo reposição de revestimentos e pinturas.</t>
  </si>
  <si>
    <t>10.3</t>
  </si>
  <si>
    <t>Reparação de porta (0.84*2.1) do interior, através da correção de desenquadramentos e substituição de ferragens deterioradas. Incluindo reposição de revestimentos e pinturas.</t>
  </si>
  <si>
    <t>10.4</t>
  </si>
  <si>
    <t>10.5</t>
  </si>
  <si>
    <t>Reparação de portas (0.83*2.1) do exterior, através da correção de desenquadramentos e substituição de ferragens deterioradas. Incluindo reposição de revestimentos e pinturas.</t>
  </si>
  <si>
    <t>Reparação de janelas (0.85*0.85) do exterior, através da correção de desenquadramentos e substituição de ferragens deterioradas. Incluindo reposição de revestimentos e pinturas.</t>
  </si>
  <si>
    <t>Fornecimento e colocação de janelas (0,6*0,6),  todos os trabalhos acessórios e complementares.</t>
  </si>
  <si>
    <t>4.2</t>
  </si>
  <si>
    <t>4.3</t>
  </si>
  <si>
    <t>Execução de alvenarias (Fileira bloco) em blocos (20x20x40 cm)  de betão na cobertura, assentes com argamassa de cimento e areia ao traço 1:4, incluindo todos os trabalhos e acessórios complementares, com as dimensões:</t>
  </si>
  <si>
    <t>Reestabelecimento do Pé-direito após demolição de elementos estruturais mediante a execução de alvenarias em blocos (20x20x40 cm) de betão, assentes com argamassa de cimento e areia ao traço 1:4, incluindo todos os trabalhos e acessórios complementares.</t>
  </si>
  <si>
    <t>Pintura  interior e exterior com duas demãos de tintas de água Contrato incluindo barração.</t>
  </si>
  <si>
    <t>5.3</t>
  </si>
  <si>
    <t>Pintura  Teto com duas demãos de tintas de água Contrato incluindo barração.</t>
  </si>
  <si>
    <t>9.2</t>
  </si>
  <si>
    <t>PAULA MONTEIRO</t>
  </si>
  <si>
    <r>
      <t xml:space="preserve">Remoção de cobertura em </t>
    </r>
    <r>
      <rPr>
        <b/>
        <sz val="11"/>
        <rFont val="Times New Roman"/>
        <family val="1"/>
      </rPr>
      <t>chapa metálica</t>
    </r>
    <r>
      <rPr>
        <sz val="11"/>
        <rFont val="Times New Roman"/>
        <family val="1"/>
      </rPr>
      <t xml:space="preserve"> incluindo escoramento da estrutura existente, a remoção e transporte de entulho para o vazadouro municipal. </t>
    </r>
  </si>
  <si>
    <r>
      <t>m</t>
    </r>
    <r>
      <rPr>
        <vertAlign val="superscript"/>
        <sz val="11"/>
        <rFont val="Times New Roman"/>
        <family val="1"/>
      </rPr>
      <t>2</t>
    </r>
    <r>
      <rPr>
        <sz val="11"/>
        <color theme="1"/>
        <rFont val="Calibri"/>
        <family val="2"/>
        <scheme val="minor"/>
      </rPr>
      <t/>
    </r>
  </si>
  <si>
    <t>Escavação de terreno de qualquer natureza para execução de fundações 0.80 de largura, incluíndo remoção e transporte de material sobrante.</t>
  </si>
  <si>
    <r>
      <t>m</t>
    </r>
    <r>
      <rPr>
        <vertAlign val="superscript"/>
        <sz val="11"/>
        <rFont val="Times New Roman"/>
        <family val="1"/>
      </rPr>
      <t>3</t>
    </r>
  </si>
  <si>
    <t>Fornecimento e colocação de betão de limpeza com 0,05 m de espessura incluindo todos os trabalhos e meios necessários para sua boa execução:</t>
  </si>
  <si>
    <t>Execução de alvenarias em blocos (20x20x40 cm)  de betão, assentes com argamassa de cimento e areia ao traço 1:4, incluindo todos os trabalhos e acessórios complementares, com as dimensões:</t>
  </si>
  <si>
    <r>
      <t>Reestabelecimento do Pé-direito após demolição de elementos estruturais mediante a execução de alvenarias em blocos (20x</t>
    </r>
    <r>
      <rPr>
        <b/>
        <sz val="11"/>
        <rFont val="Calibri"/>
        <family val="2"/>
        <scheme val="minor"/>
      </rPr>
      <t>20</t>
    </r>
    <r>
      <rPr>
        <sz val="11"/>
        <rFont val="Calibri"/>
        <family val="2"/>
        <scheme val="minor"/>
      </rPr>
      <t>x40 cm) de betão, assentes com argamassa de cimento e areia ao traço 1:4, incluindo todos os trabalhos e acessórios complementares.</t>
    </r>
  </si>
  <si>
    <t>5.4</t>
  </si>
  <si>
    <t>Fornecimento e execução de betonilha afagada, ao traço 1:3:5, com 5cm de espessura sobre os pavimentos de betão, incluindo todos os trabalhos complementares.</t>
  </si>
  <si>
    <t>CAP VI -INSTALAÇÃO SANITÁRIA (WC)</t>
  </si>
  <si>
    <t>6.1.1</t>
  </si>
  <si>
    <t>un.</t>
  </si>
  <si>
    <t>6.1.2</t>
  </si>
  <si>
    <t>6.1.3</t>
  </si>
  <si>
    <t>Fornecimento e assentamento de base de duche, prever todos os acessórios de fixação, ligações a rede de água e esgoto, assim como o respectivo ensaio de modo a funcionar nas perfeitas condições.</t>
  </si>
  <si>
    <t>6.1.4</t>
  </si>
  <si>
    <t>6.1.5</t>
  </si>
  <si>
    <t>CAP VII - ELETRICIDADE</t>
  </si>
  <si>
    <t>Reposição e instalação de tubagens e fios em
lajes para pontos de iluminação e acesso a
rede, incluinto todos os trabalhos e acessórios complementares.</t>
  </si>
  <si>
    <t xml:space="preserve">CAP IX - REDE DE ÁGUA </t>
  </si>
  <si>
    <t>Fornecimento e instalação de rede de água, incluindo os acessórios, ligações e todos os trabalhos acessórios necessários para o seu bom funcionamento.</t>
  </si>
  <si>
    <t>CAP IX - REDE DE ESGOTO</t>
  </si>
  <si>
    <t>Fornecimento e instalação de rede de esgotos , incluindo tubagens PVC, abertura e tapamento de roços, acessórios, ligações e todos os trabalhos acessórios necessários para o seu bom funcionamento.</t>
  </si>
  <si>
    <r>
      <t xml:space="preserve">Execução da </t>
    </r>
    <r>
      <rPr>
        <b/>
        <sz val="11"/>
        <rFont val="Calibri"/>
        <family val="2"/>
        <scheme val="minor"/>
      </rPr>
      <t>fossa séptica (incluindo Poço Absorvente)</t>
    </r>
    <r>
      <rPr>
        <sz val="11"/>
        <rFont val="Calibri"/>
        <family val="2"/>
        <scheme val="minor"/>
      </rPr>
      <t xml:space="preserve"> em betão ciclópico e tampa em betão armado incluindo todos os trabalhos acessórios e complementares.</t>
    </r>
  </si>
  <si>
    <t>CAP X - COZINHA</t>
  </si>
  <si>
    <r>
      <t xml:space="preserve">Fornecimento de bancada de cozinha </t>
    </r>
    <r>
      <rPr>
        <sz val="11"/>
        <rFont val="Calibri"/>
        <family val="2"/>
        <scheme val="minor"/>
      </rPr>
      <t xml:space="preserve">(Detalhamento dos materiais utilizados Bancada de cocinha bloco de tantios, tampa que material), lava loiças, incluindo os seus acessórios, </t>
    </r>
    <r>
      <rPr>
        <b/>
        <sz val="11"/>
        <rFont val="Calibri"/>
        <family val="2"/>
        <scheme val="minor"/>
      </rPr>
      <t xml:space="preserve">conforme o projeto de arquitetura. </t>
    </r>
  </si>
  <si>
    <t>CAP XI  - CARPINTARIA</t>
  </si>
  <si>
    <t>12.1</t>
  </si>
  <si>
    <t>Fornecimento e colocação de Porta (210*80),  todos os trabalhos acessórios e complementares.</t>
  </si>
  <si>
    <t>12.2</t>
  </si>
  <si>
    <t>Fornecimento e colocação de janelas (50*50),  todos os trabalhos acessórios e complementares.</t>
  </si>
  <si>
    <t>12.3</t>
  </si>
  <si>
    <t>Reabilitação de vãos (2 Portas de 210*80cm; 1 Janela de 50*50 cm) , incluindo todos os acessórios  complementares para o seu bom funcionamento.</t>
  </si>
  <si>
    <t>CAP XII - ENVOLVENTE</t>
  </si>
  <si>
    <t>Pavimento em betonilha. A ser aplicado na extensão das fachadas adjacentes á via pública com àrea equivalente a 1,00 metros vezes o comprimento da fachada.</t>
  </si>
  <si>
    <t>Fornecimento e plantação de árvore menor de 14 cm de perímetro de tronco a 1 m do solo, com meios manuais, em terreno arenoso, em cova de 60x60x60 cm.</t>
  </si>
  <si>
    <t>14</t>
  </si>
  <si>
    <t>CAP XI - CLARABÓIA</t>
  </si>
  <si>
    <t>14.1</t>
  </si>
  <si>
    <t>RAISA DARLENE GOMES</t>
  </si>
  <si>
    <r>
      <t xml:space="preserve">Demolição da </t>
    </r>
    <r>
      <rPr>
        <b/>
        <sz val="11"/>
        <rFont val="Times New Roman"/>
        <family val="1"/>
      </rPr>
      <t>laje em betão armado</t>
    </r>
    <r>
      <rPr>
        <sz val="11"/>
        <rFont val="Times New Roman"/>
        <family val="1"/>
      </rPr>
      <t>, incluindo escoramento da estrutura existente, a remoção e transporte de entulho para o vazadouro municipal.</t>
    </r>
  </si>
  <si>
    <t>CAP II - ESTRUTURAS DE BETÃO</t>
  </si>
  <si>
    <t xml:space="preserve">CAP III - ALVENARIA </t>
  </si>
  <si>
    <t>3,1</t>
  </si>
  <si>
    <t>3,2</t>
  </si>
  <si>
    <t xml:space="preserve">CAP IV - REVESTIMENTO </t>
  </si>
  <si>
    <t>CAP V -INSTALAÇÃO SANITÁRIA (WC)</t>
  </si>
  <si>
    <t>5.1.1</t>
  </si>
  <si>
    <t>5.1.2</t>
  </si>
  <si>
    <t>5.1.3</t>
  </si>
  <si>
    <t>5.1.4</t>
  </si>
  <si>
    <t>5.1.5</t>
  </si>
  <si>
    <t>Fornecimento e instalação de tubagens e fios em
lajes para pontos de iluminação e acesso a
rede, incluinto todos os trabalhos e acessórios complementares</t>
  </si>
  <si>
    <t>8.2</t>
  </si>
  <si>
    <t>CAP X - CARPINTARIA</t>
  </si>
  <si>
    <t>Fornecimento e colocação de Porta (210 *70),  todos os trabalhos acessórios e complementares.</t>
  </si>
  <si>
    <t>Fornecimento e colocação de Porta (210 *90),  todos os trabalhos acessórios e complementares.</t>
  </si>
  <si>
    <t>CAP XI - ENVOLVENTE</t>
  </si>
  <si>
    <t>CATARINA SEMEDO RODRIGUES</t>
  </si>
  <si>
    <r>
      <t>Reestabelecimento do Pé-direito após demolição de elementos estruturais mediante a execução de alvenarias em blocos (20x</t>
    </r>
    <r>
      <rPr>
        <b/>
        <sz val="11"/>
        <rFont val="Times New Roman"/>
        <family val="1"/>
      </rPr>
      <t>20</t>
    </r>
    <r>
      <rPr>
        <sz val="11"/>
        <rFont val="Times New Roman"/>
        <family val="1"/>
      </rPr>
      <t>x40 cm) de betão, assentes com argamassa de cimento e areia ao traço 1:4, incluindo todos os trabalhos e acessórios complementares.</t>
    </r>
  </si>
  <si>
    <t>8</t>
  </si>
  <si>
    <t>Pintura  faixada frontal e lateral com duas demãos de tintas de água Contrato incluindo barração.</t>
  </si>
  <si>
    <r>
      <t xml:space="preserve">Fornecimento e instalação de rede de água para </t>
    </r>
    <r>
      <rPr>
        <b/>
        <sz val="11"/>
        <rFont val="Times New Roman"/>
        <family val="1"/>
      </rPr>
      <t>Lavatório</t>
    </r>
    <r>
      <rPr>
        <sz val="11"/>
        <rFont val="Times New Roman"/>
        <family val="1"/>
      </rPr>
      <t>, incluindo os acessórios, ligações e todos os trabalhos acessórios necessários para o seu bom funcionamento.</t>
    </r>
  </si>
  <si>
    <r>
      <t xml:space="preserve">Fornecimento e instalação de rede de água para </t>
    </r>
    <r>
      <rPr>
        <b/>
        <sz val="11"/>
        <rFont val="Times New Roman"/>
        <family val="1"/>
      </rPr>
      <t>Lava Loiças</t>
    </r>
    <r>
      <rPr>
        <sz val="11"/>
        <rFont val="Times New Roman"/>
        <family val="1"/>
      </rPr>
      <t>, incluindo os acessórios, ligações e todos os trabalhos acessórios necessários para o seu bom funcionamento.</t>
    </r>
  </si>
  <si>
    <r>
      <t xml:space="preserve">Fornecimento de bancada de cozinha (Detalhamento dos materiais utilizados Bancada de cocinha bloco de tantios, tampa que material), lava loiças, incluindo os seus acessórios, </t>
    </r>
    <r>
      <rPr>
        <b/>
        <sz val="11"/>
        <rFont val="Times New Roman"/>
        <family val="1"/>
      </rPr>
      <t xml:space="preserve">conforme o projeto de arquitetura. </t>
    </r>
  </si>
  <si>
    <t>Reparação de caixilharia exterior de madeira, através da correção de desenquadramentos e substituição de ferragens deterioradas. Incluindo reposição de revestimentos e pinturas.</t>
  </si>
  <si>
    <t>Fornecimento e colocação de Porta (0.9*2.1),  todos os trabalhos acessórios e complementares.</t>
  </si>
  <si>
    <t>Fornecimento e colocação de janela (1,51*1,00),  todos os trabalhos acessórios e complementares.</t>
  </si>
  <si>
    <t>ANABELA MARTINS VAZ</t>
  </si>
  <si>
    <r>
      <t xml:space="preserve">Remoção de cobertura em </t>
    </r>
    <r>
      <rPr>
        <b/>
        <sz val="10"/>
        <rFont val="Calibri"/>
        <family val="2"/>
        <scheme val="minor"/>
      </rPr>
      <t>Telha Fibrocimento</t>
    </r>
    <r>
      <rPr>
        <sz val="10"/>
        <rFont val="Calibri"/>
        <family val="2"/>
        <scheme val="minor"/>
      </rPr>
      <t xml:space="preserve"> incluindo escoramento da estrutura existente, a remoção e transporte de entulho para o vazadouro municipal. </t>
    </r>
  </si>
  <si>
    <r>
      <t xml:space="preserve">Remoção de cobertura em </t>
    </r>
    <r>
      <rPr>
        <b/>
        <sz val="10"/>
        <rFont val="Calibri"/>
        <family val="2"/>
        <scheme val="minor"/>
      </rPr>
      <t xml:space="preserve">chapa metálica </t>
    </r>
    <r>
      <rPr>
        <sz val="10"/>
        <rFont val="Calibri"/>
        <family val="2"/>
        <scheme val="minor"/>
      </rPr>
      <t>incluindo escoramento da estrutura existente, a remoção e transporte de entulho para o vazadouro municipal.</t>
    </r>
  </si>
  <si>
    <t>1.4</t>
  </si>
  <si>
    <r>
      <t xml:space="preserve">Demolição de laje em </t>
    </r>
    <r>
      <rPr>
        <b/>
        <sz val="10"/>
        <rFont val="Calibri"/>
        <family val="2"/>
        <scheme val="minor"/>
      </rPr>
      <t>betão armado</t>
    </r>
    <r>
      <rPr>
        <sz val="10"/>
        <rFont val="Calibri"/>
        <family val="2"/>
        <scheme val="minor"/>
      </rPr>
      <t>, incluindo escoramento da estrutura existente, a remoção e transporte de entulho para o vazadouro municipal.</t>
    </r>
  </si>
  <si>
    <t>Fornecimento e colocação de Betão de limpeza, incluindo todos os trabalhos e meios necessários para a sua boa execução.</t>
  </si>
  <si>
    <r>
      <t xml:space="preserve">Fornecimento e execução de salpico e </t>
    </r>
    <r>
      <rPr>
        <b/>
        <sz val="10"/>
        <rFont val="Calibri"/>
        <family val="2"/>
        <scheme val="minor"/>
      </rPr>
      <t>reboco de paredes interiores</t>
    </r>
    <r>
      <rPr>
        <sz val="10"/>
        <rFont val="Calibri"/>
        <family val="2"/>
        <scheme val="minor"/>
      </rPr>
      <t xml:space="preserve"> com argamassa de cimento e areia ao traço de 1:4 incluíndo execução de arestas e todos os trabalhos e meios necessários para sua boa execução.</t>
    </r>
  </si>
  <si>
    <r>
      <rPr>
        <b/>
        <sz val="10"/>
        <rFont val="Calibri"/>
        <family val="2"/>
        <scheme val="minor"/>
      </rPr>
      <t>Pintura exterior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</si>
  <si>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r>
      <rPr>
        <b/>
        <sz val="10"/>
        <rFont val="Calibri"/>
        <family val="2"/>
        <scheme val="minor"/>
      </rPr>
      <t>Pintura interior</t>
    </r>
    <r>
      <rPr>
        <sz val="10"/>
        <rFont val="Calibri"/>
        <family val="2"/>
        <scheme val="minor"/>
      </rPr>
      <t xml:space="preserve"> com duas demãos de tintas de água Contrato incluindo barração.</t>
    </r>
  </si>
  <si>
    <t>CAP VI - INSTALAÇÃO SANITÁRIA (WC)</t>
  </si>
  <si>
    <r>
      <t xml:space="preserve">Fornecimento e assentamento de </t>
    </r>
    <r>
      <rPr>
        <b/>
        <sz val="10"/>
        <rFont val="Calibri"/>
        <family val="2"/>
        <scheme val="minor"/>
      </rPr>
      <t xml:space="preserve">Autoclismo </t>
    </r>
    <r>
      <rPr>
        <sz val="10"/>
        <rFont val="Calibri"/>
        <family val="2"/>
        <scheme val="minor"/>
      </rPr>
      <t>de sanita, incluindo autoclismo, prever todos os acessórios de fixação, ligações a rede de água e esgoto, assim como o respectivo ensaio de modo a funcionar nas perfeitas condições.</t>
    </r>
  </si>
  <si>
    <t>Reposição e instalação de tubagens e fios em
lajes para pontos de iluminação e acesso a
rede, incluindo todos os trabalhos e acessórios complementares</t>
  </si>
  <si>
    <t>CAP VIII - REDE DE ÁGUA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</si>
  <si>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Sanita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</si>
  <si>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os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</si>
  <si>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 Loiças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</si>
  <si>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r>
      <t xml:space="preserve">Fornecimento de bancada de cozinha (executada com tampa betão á vista e laterais em parede de 10 cm de espessura), lava loiças (1 cuba), incluindo os seus acessórios, </t>
    </r>
    <r>
      <rPr>
        <b/>
        <sz val="10"/>
        <rFont val="Calibri"/>
        <family val="2"/>
        <scheme val="minor"/>
      </rPr>
      <t>conforme o projeto de arquitetura.</t>
    </r>
  </si>
  <si>
    <t>CAP XI - REABILITAÇÃO DE VÃOS</t>
  </si>
  <si>
    <t>Reparação de Porta (0.69*2.10), através da correção de desenquadramentos e substituição de ferragens deterioradas. Incluindo reposição de revestimentos e pinturas.</t>
  </si>
  <si>
    <t>Reparação de Porta (0.74*2.10), através da correção de desenquadramentos e substituição de ferragens deterioradas. Incluindo reposição de revestimentos e pinturas.</t>
  </si>
  <si>
    <t>Reparação de Porta (0.76*2.10), através da correção de desenquadramentos e substituição de ferragens deterioradas. Incluindo reposição de revestimentos e pinturas.</t>
  </si>
  <si>
    <t>Reparação de Porta (0.77*2.10), através da correção de desenquadramentos e substituição de ferragens deterioradas. Incluindo reposição de revestimentos e pinturas.</t>
  </si>
  <si>
    <t>11.5</t>
  </si>
  <si>
    <t>Reparação de Porta (0.79*2.10), através da correção de desenquadramentos e substituição de ferragens deterioradas. Incluindo reposição de revestimentos e pinturas.</t>
  </si>
  <si>
    <t>11.6</t>
  </si>
  <si>
    <t>Reparação de Porta (0.81*2.10), através da correção de desenquadramentos e substituição de ferragens deterioradas. Incluindo reposição de revestimentos e pinturas.</t>
  </si>
  <si>
    <t>11.7</t>
  </si>
  <si>
    <t>Reparação de Porta (0.82*2.10), através da correção de desenquadramentos e substituição de ferragens deterioradas. Incluindo reposição de revestimentos e pinturas.</t>
  </si>
  <si>
    <t>11.8</t>
  </si>
  <si>
    <t>Reparação de Janela (0.60*1.0), através da correção de desenquadramentos e substituição de ferragens deterioradas. Incluindo reposição de revestimentos e pinturas.</t>
  </si>
  <si>
    <t>11.9</t>
  </si>
  <si>
    <t>Reparação de Janela (0.66*1.0), através da correção de desenquadramentos e substituição de ferragens deterioradas. Incluindo reposição de revestimentos e pinturas.</t>
  </si>
  <si>
    <t>11.10</t>
  </si>
  <si>
    <t>Reparação de Janela (0.83*1.0), através da correção de desenquadramentos e substituição de ferragens deterioradas. Incluindo reposição de revestimentos e pinturas.</t>
  </si>
  <si>
    <t>11.11</t>
  </si>
  <si>
    <t>Reparação de Janela (0.91*1.0), através da correção de desenquadramentos e substituição de ferragens deterioradas. Incluindo reposição de revestimentos e pinturas.</t>
  </si>
  <si>
    <t>CAP XII - CARPINTARIA</t>
  </si>
  <si>
    <t xml:space="preserve">Fornecimento e colocação de Porta (0.77*2.10) e todos os trabalhos acessórios necessários para o seu bom funcionamento. </t>
  </si>
  <si>
    <t xml:space="preserve">Fornecimento e colocação de Porta (0.74*2.10) e todos os trabalhos acessórios necessários para o seu bom funcionamento. </t>
  </si>
  <si>
    <t>CAP XIII - ENVOLVENTE</t>
  </si>
  <si>
    <t>13.1</t>
  </si>
  <si>
    <t>GABRIELA DA COSTA ÉVORA</t>
  </si>
  <si>
    <t>Execução de alvenarias em blocos (10x20x40 cm)  de betão, assentes com argamassa de cimento e areia ao traço 1:4, incluindo todos os trabalhos e acessórios complementares, com as dimensões:</t>
  </si>
  <si>
    <r>
      <t xml:space="preserve">Fornecimento e execução de salpico e </t>
    </r>
    <r>
      <rPr>
        <b/>
        <sz val="10"/>
        <rFont val="Calibri"/>
        <family val="2"/>
        <scheme val="minor"/>
      </rPr>
      <t>reboco de paredes exteriores</t>
    </r>
    <r>
      <rPr>
        <sz val="10"/>
        <rFont val="Calibri"/>
        <family val="2"/>
        <scheme val="minor"/>
      </rPr>
      <t xml:space="preserve"> com argamassa de cimento e areia ao traço de 1:4 incluíndo execução de arestas e todos os trabalhos e meios necessários para sua boa execução.</t>
    </r>
  </si>
  <si>
    <t>5.5</t>
  </si>
  <si>
    <t>6.2</t>
  </si>
  <si>
    <t>6.2.1</t>
  </si>
  <si>
    <t>6.2.2</t>
  </si>
  <si>
    <t>6.2.3</t>
  </si>
  <si>
    <r>
      <t xml:space="preserve">Fornecimento e instalação de rede de água para </t>
    </r>
    <r>
      <rPr>
        <b/>
        <sz val="10"/>
        <rFont val="Calibri"/>
        <family val="2"/>
        <scheme val="minor"/>
      </rPr>
      <t>Lavatório, Sanita e Duche</t>
    </r>
    <r>
      <rPr>
        <sz val="10"/>
        <rFont val="Calibri"/>
        <family val="2"/>
        <scheme val="minor"/>
      </rPr>
      <t xml:space="preserve"> incluindo os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</si>
  <si>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Lavatório e Duche</t>
    </r>
    <r>
      <rPr>
        <sz val="10"/>
        <rFont val="Calibri"/>
        <family val="2"/>
        <scheme val="minor"/>
      </rPr>
      <t xml:space="preserve"> incluindo tubagens de PVC, abertura e tapamento de roços, acessórios, ligações e todos os trabalhos acessórios necessários para o seu bom funcionamento.</t>
    </r>
  </si>
  <si>
    <r>
      <t xml:space="preserve">Fornecimento e instalação de rede de esgoto para </t>
    </r>
    <r>
      <rPr>
        <b/>
        <sz val="10"/>
        <rFont val="Calibri"/>
        <family val="2"/>
        <scheme val="minor"/>
      </rPr>
      <t>Sanita</t>
    </r>
    <r>
      <rPr>
        <sz val="10"/>
        <rFont val="Calibri"/>
        <family val="2"/>
        <scheme val="minor"/>
      </rPr>
      <t>, incluindo tubagens de PVC, abertura e tapamento de roços, acessórios, ligações e todos os trabalhos acessórios necessários para o seu bom funcionamento.</t>
    </r>
  </si>
  <si>
    <t>9.3</t>
  </si>
  <si>
    <t>9.4</t>
  </si>
  <si>
    <r>
      <t xml:space="preserve">Execução de </t>
    </r>
    <r>
      <rPr>
        <b/>
        <sz val="10"/>
        <rFont val="Calibri"/>
        <family val="2"/>
        <scheme val="minor"/>
      </rPr>
      <t>Fossa séptica</t>
    </r>
    <r>
      <rPr>
        <sz val="10"/>
        <rFont val="Calibri"/>
        <family val="2"/>
        <scheme val="minor"/>
      </rPr>
      <t xml:space="preserve"> (incluindo poço absorvente) em betão ciclópico e tampa em betão armado incluindo todos os trabalhos acessórios e complementares.</t>
    </r>
  </si>
  <si>
    <t>Reparação de Porta (1.0*2.10), através da correção de desenquadramentos e substituição de ferragens deterioradas. Incluindo reposição de revestimentos e pinturas.</t>
  </si>
  <si>
    <t>Reparação de Janela (1.07*1.0), através da correção de desenquadramentos e substituição de ferragens deterioradas. Incluindo reposição de revestimentos e pinturas.</t>
  </si>
  <si>
    <t xml:space="preserve">Fornecimento e colocação de Porta (1.0*2.10) e todos os trabalhos acessórios necessários para o seu bom funcionamento. </t>
  </si>
  <si>
    <t xml:space="preserve">Fornecimento e colocação de Porta (0.8*2.10) e todos os trabalhos acessórios necessários para o seu bom funcionamento. </t>
  </si>
  <si>
    <t>Pavimento em betonilha. A ser aplicado na extensão das fachadas adjacentes á via pública com àrea equivalente a 1 metros vezes o comprimento da fachada.</t>
  </si>
  <si>
    <t>13.2</t>
  </si>
  <si>
    <t>ROSALINA DA CONCEIÇÃO SILVA</t>
  </si>
  <si>
    <t>4.4</t>
  </si>
  <si>
    <t>4.5</t>
  </si>
  <si>
    <t>Fornecimento e execução de betonilha afagada, ao traço 1:3:5, com 5cm de espessura sobre os pavimentos de betão e todos os trabalhos complementares.</t>
  </si>
  <si>
    <t>4.6</t>
  </si>
  <si>
    <t>CAP V - INSTALAÇÃO SANITÁRIA (WC)</t>
  </si>
  <si>
    <t>5.2.1</t>
  </si>
  <si>
    <t>5.2.2</t>
  </si>
  <si>
    <t>5.2.3</t>
  </si>
  <si>
    <t>CAP VII - REDE DE ÁGUA</t>
  </si>
  <si>
    <t>8.3</t>
  </si>
  <si>
    <t>8.4</t>
  </si>
  <si>
    <t>CAP X - REABILITAÇÃO DE VÃOS</t>
  </si>
  <si>
    <t>Reparação de Porta (0.86*2.10), através da correção de desenquadramentos e substituição de ferragens deterioradas. Incluindo reposição de revestimentos e pinturas.</t>
  </si>
  <si>
    <t>Reparação de Janela (0.9*1.0), através da correção de desenquadramentos e substituição de ferragens deterioradas. Incluindo reposição de revestimentos e pinturas.</t>
  </si>
  <si>
    <t xml:space="preserve">Fornecimento e colocação de Porta (0.73*2.10) e todos os trabalhos acessórios necessários para o seu bom funcionamento. </t>
  </si>
  <si>
    <t xml:space="preserve">Fornecimento e colocação de Porta (0.78*2.10) e todos os trabalhos acessórios necessários para o seu bom funcionamento. </t>
  </si>
  <si>
    <t xml:space="preserve">Fornecimento e colocação de Porta (0.80*2.10) e todos os trabalhos acessórios necessários para o seu bom funcionamento. </t>
  </si>
  <si>
    <t xml:space="preserve">Fornecimento e colocação de Porta (0.90*2.10) e todos os trabalhos acessórios necessários para o seu bom funcionamento. </t>
  </si>
  <si>
    <t xml:space="preserve">Fornecimento e colocação de Janela (0.6*0.6) e todos os trabalhos acessórios necessários para o seu bom funcionamento. </t>
  </si>
  <si>
    <t xml:space="preserve">Fornecimento e colocação de Janela (0.98*1.0) e todos os trabalhos acessórios necessários para o seu bom funcionamento. </t>
  </si>
  <si>
    <t xml:space="preserve">Fornecimento e colocação de Janela (1.57*1.0) e todos os trabalhos acessórios necessários para o seu bom funcionamento. </t>
  </si>
  <si>
    <t>ONDINA DA VEIGA SEMEDO CARDOSO</t>
  </si>
  <si>
    <t xml:space="preserve">CAP III - REVESTIMENTO </t>
  </si>
  <si>
    <t>3.3</t>
  </si>
  <si>
    <t>3.4</t>
  </si>
  <si>
    <t>3.5</t>
  </si>
  <si>
    <t>3.6</t>
  </si>
  <si>
    <t>CAP IV - INSTALAÇÃO SANITÁRIA (WC)</t>
  </si>
  <si>
    <t>4.1.1</t>
  </si>
  <si>
    <t>Execução de reboco sobre paredes interiores em blocos de betão, acabamento areado fino, prever reconstituição das ombreiras dos vãos remates e alhetas de separação com outros revestimentos.</t>
  </si>
  <si>
    <t>4.1.2</t>
  </si>
  <si>
    <t>4.1.3</t>
  </si>
  <si>
    <t>4.1.4</t>
  </si>
  <si>
    <t>4.2.1</t>
  </si>
  <si>
    <t>4.2.2</t>
  </si>
  <si>
    <t>4.2.3</t>
  </si>
  <si>
    <t>CAP V - ELETRICIDADE</t>
  </si>
  <si>
    <t>CAP VI - REDE DE ÁGUA</t>
  </si>
  <si>
    <t>CAP VII - REDE DE ESGOTO</t>
  </si>
  <si>
    <t>CAP VIII - COZINHA</t>
  </si>
  <si>
    <t>Reparação de Porta (0.94*2.10), através da correção de desenquadramentos e substituição de ferragens deterioradas. Incluindo reposição de revestimentos e pinturas.</t>
  </si>
  <si>
    <t>Reparação de Porta (1.23*2.10), através da correção de desenquadramentos e substituição de ferragens deterioradas. Incluindo reposição de revestimentos e pinturas.</t>
  </si>
  <si>
    <t>Reparação de Janela (1.35*1.0), através da correção de desenquadramentos e substituição de ferragens deterioradas. Incluindo reposição de revestimentos e pinturas.</t>
  </si>
  <si>
    <t xml:space="preserve">Fornecimento e colocação de Porta (0.84*2.10) e todos os trabalhos acessórios necessários para o seu bom funcionamento. </t>
  </si>
  <si>
    <t xml:space="preserve">Fornecimento e colocação de Janela (0.55*1.0) e todos os trabalhos acessórios necessários para o seu bom funcionamento. </t>
  </si>
  <si>
    <t xml:space="preserve">Fornecimento e colocação de Janela (1.35*1.0) e todos os trabalhos acessórios necessários para o seu bom funcionamento. </t>
  </si>
  <si>
    <t xml:space="preserve">CAP 0 - ESTALEIRO </t>
  </si>
  <si>
    <r>
      <t xml:space="preserve">Implantação das medidas previstas no Plano de Gestão Ambietal e Social (PGAS) patenteado e conforme PSS da obra, incluído a fixação da placa de obra. Tudo de modo a salvaguardar as condições de higiene, salubridade e segurança no trabalho, cumprindo o previsto nos regulamentos e normas de segurança no trabalho e nos Cadernos de Encargos. Sinalização de cada obra, com paneis , fitas sinalizadoras ou material similar de forma a garantir a máxima segurança na obra.                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 O estaleiro da obra é considerado o estaleiro central do Concorrente/Firma.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</si>
</sst>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​&quot;_-;\-* #,##0.00\ &quot;​&quot;_-;_-* &quot;-&quot;??\ &quot;​&quot;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  <charset val="1"/>
    </font>
    <font>
      <vertAlign val="superscript"/>
      <sz val="10"/>
      <name val="Calibri"/>
      <family val="2"/>
      <scheme val="minor"/>
    </font>
    <font>
      <sz val="8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"/>
    </font>
    <font>
      <b/>
      <u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name val="Times New Roman"/>
      <family val="1"/>
    </font>
    <font>
      <b/>
      <sz val="11"/>
      <name val="Calibri"/>
      <family val="2"/>
      <scheme val="minor"/>
    </font>
    <font>
      <b/>
      <u/>
      <sz val="11"/>
      <name val="Times New Roman"/>
      <family val="1"/>
    </font>
    <font>
      <b/>
      <sz val="10"/>
      <name val="Calibri "/>
    </font>
    <font>
      <sz val="8"/>
      <name val="Calibri "/>
    </font>
    <font>
      <sz val="10"/>
      <name val="Calibri "/>
    </font>
    <font>
      <sz val="11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DDDDDD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344">
    <xf numFmtId="0" fontId="0" fillId="0" borderId="0" xfId="0"/>
    <xf numFmtId="0" fontId="3" fillId="0" borderId="35" xfId="0" applyFont="1" applyBorder="1" applyAlignment="1">
      <alignment vertical="center"/>
    </xf>
    <xf numFmtId="4" fontId="6" fillId="3" borderId="13" xfId="0" applyNumberFormat="1" applyFont="1" applyFill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0" fontId="7" fillId="0" borderId="34" xfId="0" applyFont="1" applyBorder="1"/>
    <xf numFmtId="49" fontId="7" fillId="0" borderId="6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/>
    <xf numFmtId="4" fontId="7" fillId="0" borderId="15" xfId="1" applyNumberFormat="1" applyFont="1" applyBorder="1" applyAlignment="1">
      <alignment horizontal="center" vertical="center"/>
    </xf>
    <xf numFmtId="4" fontId="7" fillId="0" borderId="33" xfId="1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0" borderId="0" xfId="0" applyFont="1"/>
    <xf numFmtId="164" fontId="9" fillId="0" borderId="0" xfId="0" applyNumberFormat="1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/>
    <xf numFmtId="164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36" xfId="0" applyFont="1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15" xfId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4" fontId="5" fillId="0" borderId="15" xfId="1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49" fontId="5" fillId="0" borderId="37" xfId="1" applyNumberFormat="1" applyFont="1" applyBorder="1" applyAlignment="1">
      <alignment vertical="center"/>
    </xf>
    <xf numFmtId="49" fontId="5" fillId="0" borderId="24" xfId="1" applyNumberFormat="1" applyFont="1" applyBorder="1" applyAlignment="1">
      <alignment vertical="center"/>
    </xf>
    <xf numFmtId="164" fontId="5" fillId="0" borderId="24" xfId="1" applyNumberFormat="1" applyFont="1" applyBorder="1" applyAlignment="1">
      <alignment vertical="center"/>
    </xf>
    <xf numFmtId="49" fontId="5" fillId="0" borderId="38" xfId="1" applyNumberFormat="1" applyFont="1" applyBorder="1" applyAlignment="1">
      <alignment vertical="center"/>
    </xf>
    <xf numFmtId="49" fontId="5" fillId="0" borderId="42" xfId="1" applyNumberFormat="1" applyFont="1" applyBorder="1" applyAlignment="1">
      <alignment horizontal="center" vertical="center"/>
    </xf>
    <xf numFmtId="0" fontId="5" fillId="0" borderId="43" xfId="1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/>
    </xf>
    <xf numFmtId="4" fontId="5" fillId="0" borderId="43" xfId="1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49" fontId="5" fillId="0" borderId="6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49" fontId="5" fillId="0" borderId="45" xfId="1" applyNumberFormat="1" applyFont="1" applyBorder="1" applyAlignment="1">
      <alignment horizontal="center" vertical="center"/>
    </xf>
    <xf numFmtId="0" fontId="5" fillId="0" borderId="46" xfId="1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/>
    </xf>
    <xf numFmtId="4" fontId="5" fillId="0" borderId="46" xfId="1" applyNumberFormat="1" applyFont="1" applyBorder="1" applyAlignment="1">
      <alignment horizontal="center" vertical="center"/>
    </xf>
    <xf numFmtId="164" fontId="5" fillId="0" borderId="46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4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/>
    <xf numFmtId="49" fontId="5" fillId="0" borderId="14" xfId="1" applyNumberFormat="1" applyFont="1" applyBorder="1" applyAlignment="1">
      <alignment horizontal="center" vertical="center"/>
    </xf>
    <xf numFmtId="49" fontId="5" fillId="0" borderId="45" xfId="1" applyNumberFormat="1" applyFont="1" applyBorder="1" applyAlignment="1">
      <alignment vertical="center"/>
    </xf>
    <xf numFmtId="49" fontId="4" fillId="0" borderId="46" xfId="1" applyNumberFormat="1" applyFont="1" applyBorder="1" applyAlignment="1">
      <alignment vertical="center"/>
    </xf>
    <xf numFmtId="164" fontId="4" fillId="0" borderId="46" xfId="1" applyNumberFormat="1" applyFont="1" applyBorder="1" applyAlignment="1">
      <alignment vertical="center"/>
    </xf>
    <xf numFmtId="49" fontId="4" fillId="0" borderId="47" xfId="1" applyNumberFormat="1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64" fontId="4" fillId="0" borderId="43" xfId="0" applyNumberFormat="1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45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left" vertical="center" wrapText="1"/>
    </xf>
    <xf numFmtId="0" fontId="5" fillId="0" borderId="47" xfId="0" applyFont="1" applyBorder="1"/>
    <xf numFmtId="49" fontId="5" fillId="0" borderId="42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left" vertical="center" wrapText="1"/>
    </xf>
    <xf numFmtId="0" fontId="5" fillId="0" borderId="44" xfId="0" applyFont="1" applyBorder="1"/>
    <xf numFmtId="0" fontId="5" fillId="0" borderId="4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49" fontId="5" fillId="0" borderId="48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/>
    </xf>
    <xf numFmtId="4" fontId="5" fillId="0" borderId="49" xfId="1" applyNumberFormat="1" applyFont="1" applyBorder="1" applyAlignment="1">
      <alignment horizontal="center" vertical="center"/>
    </xf>
    <xf numFmtId="164" fontId="5" fillId="0" borderId="49" xfId="0" applyNumberFormat="1" applyFont="1" applyBorder="1" applyAlignment="1">
      <alignment horizontal="center" vertical="center"/>
    </xf>
    <xf numFmtId="0" fontId="5" fillId="0" borderId="50" xfId="0" applyFont="1" applyBorder="1"/>
    <xf numFmtId="0" fontId="12" fillId="0" borderId="46" xfId="0" applyFont="1" applyBorder="1" applyAlignment="1">
      <alignment horizontal="left" vertical="top" wrapText="1"/>
    </xf>
    <xf numFmtId="0" fontId="12" fillId="0" borderId="46" xfId="0" applyFont="1" applyBorder="1" applyAlignment="1">
      <alignment horizontal="center" vertical="center"/>
    </xf>
    <xf numFmtId="4" fontId="12" fillId="0" borderId="46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0" fontId="13" fillId="0" borderId="0" xfId="2"/>
    <xf numFmtId="49" fontId="5" fillId="0" borderId="27" xfId="0" applyNumberFormat="1" applyFont="1" applyBorder="1" applyAlignment="1">
      <alignment horizontal="left" vertical="center" wrapText="1"/>
    </xf>
    <xf numFmtId="49" fontId="5" fillId="0" borderId="42" xfId="1" applyNumberFormat="1" applyFont="1" applyBorder="1" applyAlignment="1">
      <alignment vertical="center"/>
    </xf>
    <xf numFmtId="49" fontId="4" fillId="0" borderId="43" xfId="1" applyNumberFormat="1" applyFont="1" applyBorder="1" applyAlignment="1">
      <alignment vertical="center"/>
    </xf>
    <xf numFmtId="164" fontId="4" fillId="0" borderId="43" xfId="1" applyNumberFormat="1" applyFont="1" applyBorder="1" applyAlignment="1">
      <alignment vertical="center"/>
    </xf>
    <xf numFmtId="49" fontId="4" fillId="0" borderId="44" xfId="1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/>
    <xf numFmtId="49" fontId="5" fillId="5" borderId="15" xfId="0" applyNumberFormat="1" applyFont="1" applyFill="1" applyBorder="1" applyAlignment="1">
      <alignment horizontal="left" vertical="center" wrapText="1"/>
    </xf>
    <xf numFmtId="0" fontId="8" fillId="0" borderId="0" xfId="0" applyFont="1"/>
    <xf numFmtId="164" fontId="0" fillId="0" borderId="0" xfId="0" applyNumberFormat="1"/>
    <xf numFmtId="0" fontId="15" fillId="0" borderId="0" xfId="0" applyFont="1" applyAlignment="1">
      <alignment vertical="center"/>
    </xf>
    <xf numFmtId="164" fontId="10" fillId="0" borderId="0" xfId="0" applyNumberFormat="1" applyFont="1"/>
    <xf numFmtId="164" fontId="4" fillId="4" borderId="5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4" fontId="4" fillId="0" borderId="29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/>
    </xf>
    <xf numFmtId="4" fontId="4" fillId="3" borderId="52" xfId="0" applyNumberFormat="1" applyFont="1" applyFill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4" fontId="5" fillId="0" borderId="33" xfId="1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5" fillId="0" borderId="34" xfId="0" applyFont="1" applyBorder="1"/>
    <xf numFmtId="49" fontId="5" fillId="0" borderId="15" xfId="0" applyNumberFormat="1" applyFont="1" applyBorder="1" applyAlignment="1">
      <alignment horizontal="center" vertical="center"/>
    </xf>
    <xf numFmtId="0" fontId="14" fillId="0" borderId="53" xfId="0" applyFont="1" applyBorder="1"/>
    <xf numFmtId="164" fontId="5" fillId="0" borderId="53" xfId="0" applyNumberFormat="1" applyFont="1" applyBorder="1" applyAlignment="1">
      <alignment horizontal="center" vertical="center"/>
    </xf>
    <xf numFmtId="0" fontId="5" fillId="0" borderId="54" xfId="0" applyFont="1" applyBorder="1"/>
    <xf numFmtId="49" fontId="5" fillId="0" borderId="3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left" vertical="center" wrapText="1"/>
    </xf>
    <xf numFmtId="0" fontId="5" fillId="0" borderId="53" xfId="0" applyFont="1" applyBorder="1" applyAlignment="1">
      <alignment horizontal="center" vertical="center"/>
    </xf>
    <xf numFmtId="4" fontId="5" fillId="0" borderId="53" xfId="1" applyNumberFormat="1" applyFont="1" applyBorder="1" applyAlignment="1">
      <alignment horizontal="center" vertical="center"/>
    </xf>
    <xf numFmtId="49" fontId="4" fillId="4" borderId="17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center" vertical="center"/>
    </xf>
    <xf numFmtId="4" fontId="0" fillId="0" borderId="0" xfId="0" applyNumberFormat="1"/>
    <xf numFmtId="164" fontId="5" fillId="0" borderId="15" xfId="0" applyNumberFormat="1" applyFont="1" applyBorder="1" applyAlignment="1">
      <alignment vertical="center"/>
    </xf>
    <xf numFmtId="49" fontId="16" fillId="0" borderId="15" xfId="0" applyNumberFormat="1" applyFont="1" applyBorder="1" applyAlignment="1">
      <alignment horizontal="left" vertical="center" wrapText="1"/>
    </xf>
    <xf numFmtId="49" fontId="5" fillId="0" borderId="28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" fontId="5" fillId="0" borderId="30" xfId="1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0" fontId="5" fillId="0" borderId="55" xfId="0" applyFont="1" applyBorder="1"/>
    <xf numFmtId="49" fontId="4" fillId="2" borderId="56" xfId="0" applyNumberFormat="1" applyFont="1" applyFill="1" applyBorder="1" applyAlignment="1">
      <alignment horizontal="center" vertical="center"/>
    </xf>
    <xf numFmtId="0" fontId="4" fillId="6" borderId="57" xfId="1" applyFont="1" applyFill="1" applyBorder="1" applyAlignment="1">
      <alignment vertical="center" wrapText="1"/>
    </xf>
    <xf numFmtId="0" fontId="4" fillId="6" borderId="56" xfId="1" applyFont="1" applyFill="1" applyBorder="1" applyAlignment="1">
      <alignment vertical="center" wrapText="1"/>
    </xf>
    <xf numFmtId="0" fontId="4" fillId="6" borderId="58" xfId="1" applyFont="1" applyFill="1" applyBorder="1" applyAlignment="1">
      <alignment vertical="center" wrapText="1"/>
    </xf>
    <xf numFmtId="49" fontId="5" fillId="0" borderId="59" xfId="0" applyNumberFormat="1" applyFont="1" applyBorder="1" applyAlignment="1">
      <alignment horizontal="center" vertical="center"/>
    </xf>
    <xf numFmtId="49" fontId="5" fillId="0" borderId="59" xfId="0" applyNumberFormat="1" applyFont="1" applyBorder="1" applyAlignment="1">
      <alignment horizontal="left" vertical="center" wrapText="1"/>
    </xf>
    <xf numFmtId="49" fontId="5" fillId="0" borderId="60" xfId="0" applyNumberFormat="1" applyFont="1" applyBorder="1" applyAlignment="1">
      <alignment horizontal="left" vertical="center" wrapText="1"/>
    </xf>
    <xf numFmtId="49" fontId="5" fillId="0" borderId="61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0" fontId="0" fillId="0" borderId="28" xfId="0" applyBorder="1"/>
    <xf numFmtId="0" fontId="4" fillId="2" borderId="56" xfId="0" applyFont="1" applyFill="1" applyBorder="1" applyAlignment="1">
      <alignment horizontal="center" vertical="center"/>
    </xf>
    <xf numFmtId="0" fontId="4" fillId="2" borderId="57" xfId="1" applyFont="1" applyFill="1" applyBorder="1" applyAlignment="1">
      <alignment vertical="center" wrapText="1"/>
    </xf>
    <xf numFmtId="0" fontId="4" fillId="2" borderId="56" xfId="1" applyFont="1" applyFill="1" applyBorder="1" applyAlignment="1">
      <alignment vertical="center" wrapText="1"/>
    </xf>
    <xf numFmtId="0" fontId="4" fillId="2" borderId="58" xfId="1" applyFont="1" applyFill="1" applyBorder="1" applyAlignment="1">
      <alignment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left" vertical="center" wrapText="1"/>
    </xf>
    <xf numFmtId="49" fontId="5" fillId="0" borderId="46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/>
    <xf numFmtId="0" fontId="19" fillId="0" borderId="0" xfId="0" applyFont="1"/>
    <xf numFmtId="0" fontId="20" fillId="0" borderId="0" xfId="0" applyFont="1"/>
    <xf numFmtId="164" fontId="20" fillId="0" borderId="0" xfId="0" applyNumberFormat="1" applyFont="1"/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/>
    <xf numFmtId="0" fontId="6" fillId="0" borderId="0" xfId="0" applyFont="1"/>
    <xf numFmtId="164" fontId="6" fillId="0" borderId="0" xfId="0" applyNumberFormat="1" applyFont="1" applyAlignment="1">
      <alignment vertical="center"/>
    </xf>
    <xf numFmtId="164" fontId="6" fillId="0" borderId="0" xfId="0" applyNumberFormat="1" applyFont="1"/>
    <xf numFmtId="164" fontId="6" fillId="4" borderId="5" xfId="0" applyNumberFormat="1" applyFont="1" applyFill="1" applyBorder="1" applyAlignment="1">
      <alignment horizontal="right"/>
    </xf>
    <xf numFmtId="0" fontId="6" fillId="4" borderId="5" xfId="0" applyFont="1" applyFill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49" fontId="7" fillId="0" borderId="14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164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49" fontId="7" fillId="0" borderId="16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4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/>
    <xf numFmtId="49" fontId="6" fillId="0" borderId="15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49" fontId="6" fillId="0" borderId="16" xfId="1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4" fontId="7" fillId="0" borderId="30" xfId="1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0" fontId="7" fillId="0" borderId="29" xfId="0" applyFont="1" applyBorder="1"/>
    <xf numFmtId="0" fontId="7" fillId="0" borderId="15" xfId="0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left" vertical="center" wrapText="1"/>
    </xf>
    <xf numFmtId="49" fontId="7" fillId="0" borderId="51" xfId="0" applyNumberFormat="1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 wrapText="1"/>
    </xf>
    <xf numFmtId="4" fontId="7" fillId="0" borderId="15" xfId="0" applyNumberFormat="1" applyFont="1" applyBorder="1" applyAlignment="1">
      <alignment vertical="center"/>
    </xf>
    <xf numFmtId="0" fontId="7" fillId="0" borderId="62" xfId="0" applyFont="1" applyBorder="1"/>
    <xf numFmtId="0" fontId="7" fillId="0" borderId="27" xfId="0" applyFont="1" applyBorder="1" applyAlignment="1">
      <alignment horizontal="left" vertical="top" wrapText="1"/>
    </xf>
    <xf numFmtId="4" fontId="7" fillId="0" borderId="30" xfId="0" applyNumberFormat="1" applyFont="1" applyBorder="1" applyAlignment="1">
      <alignment vertical="center"/>
    </xf>
    <xf numFmtId="0" fontId="7" fillId="0" borderId="55" xfId="0" applyFont="1" applyBorder="1"/>
    <xf numFmtId="49" fontId="6" fillId="4" borderId="17" xfId="0" applyNumberFormat="1" applyFont="1" applyFill="1" applyBorder="1" applyAlignment="1">
      <alignment horizontal="center" vertical="center"/>
    </xf>
    <xf numFmtId="49" fontId="6" fillId="4" borderId="22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49" fontId="7" fillId="0" borderId="28" xfId="1" applyNumberFormat="1" applyFont="1" applyBorder="1" applyAlignment="1">
      <alignment vertical="center"/>
    </xf>
    <xf numFmtId="49" fontId="6" fillId="0" borderId="27" xfId="1" applyNumberFormat="1" applyFont="1" applyBorder="1" applyAlignment="1">
      <alignment vertical="center"/>
    </xf>
    <xf numFmtId="49" fontId="6" fillId="0" borderId="30" xfId="1" applyNumberFormat="1" applyFont="1" applyBorder="1" applyAlignment="1">
      <alignment vertical="center"/>
    </xf>
    <xf numFmtId="164" fontId="6" fillId="0" borderId="30" xfId="1" applyNumberFormat="1" applyFont="1" applyBorder="1" applyAlignment="1">
      <alignment vertical="center"/>
    </xf>
    <xf numFmtId="164" fontId="6" fillId="0" borderId="31" xfId="1" applyNumberFormat="1" applyFont="1" applyBorder="1" applyAlignment="1">
      <alignment vertical="center"/>
    </xf>
    <xf numFmtId="49" fontId="6" fillId="0" borderId="29" xfId="1" applyNumberFormat="1" applyFont="1" applyBorder="1" applyAlignment="1">
      <alignment vertical="center"/>
    </xf>
    <xf numFmtId="0" fontId="7" fillId="0" borderId="31" xfId="0" applyFont="1" applyBorder="1"/>
    <xf numFmtId="0" fontId="5" fillId="0" borderId="7" xfId="0" applyFont="1" applyBorder="1" applyAlignment="1">
      <alignment horizontal="left" vertical="center" wrapText="1"/>
    </xf>
    <xf numFmtId="49" fontId="5" fillId="5" borderId="14" xfId="0" applyNumberFormat="1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4" fontId="5" fillId="5" borderId="15" xfId="1" applyNumberFormat="1" applyFont="1" applyFill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center" vertical="center"/>
    </xf>
    <xf numFmtId="0" fontId="5" fillId="5" borderId="16" xfId="0" applyFont="1" applyFill="1" applyBorder="1"/>
    <xf numFmtId="49" fontId="4" fillId="0" borderId="15" xfId="0" applyNumberFormat="1" applyFont="1" applyBorder="1" applyAlignment="1">
      <alignment vertical="center" wrapText="1"/>
    </xf>
    <xf numFmtId="49" fontId="4" fillId="0" borderId="16" xfId="0" applyNumberFormat="1" applyFont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/>
    </xf>
    <xf numFmtId="4" fontId="5" fillId="5" borderId="7" xfId="1" applyNumberFormat="1" applyFont="1" applyFill="1" applyBorder="1" applyAlignment="1">
      <alignment horizontal="center" vertical="center"/>
    </xf>
    <xf numFmtId="164" fontId="5" fillId="5" borderId="7" xfId="0" applyNumberFormat="1" applyFont="1" applyFill="1" applyBorder="1" applyAlignment="1">
      <alignment horizontal="center" vertical="center"/>
    </xf>
    <xf numFmtId="0" fontId="5" fillId="5" borderId="8" xfId="0" applyFont="1" applyFill="1" applyBorder="1"/>
    <xf numFmtId="49" fontId="5" fillId="5" borderId="48" xfId="0" applyNumberFormat="1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left" vertical="top" wrapText="1"/>
    </xf>
    <xf numFmtId="0" fontId="5" fillId="5" borderId="30" xfId="0" applyFont="1" applyFill="1" applyBorder="1" applyAlignment="1">
      <alignment horizontal="center" vertical="center"/>
    </xf>
    <xf numFmtId="4" fontId="5" fillId="5" borderId="30" xfId="0" applyNumberFormat="1" applyFont="1" applyFill="1" applyBorder="1" applyAlignment="1">
      <alignment horizontal="center" vertical="center"/>
    </xf>
    <xf numFmtId="164" fontId="5" fillId="5" borderId="30" xfId="0" applyNumberFormat="1" applyFont="1" applyFill="1" applyBorder="1" applyAlignment="1">
      <alignment horizontal="center" vertical="center"/>
    </xf>
    <xf numFmtId="0" fontId="5" fillId="5" borderId="50" xfId="0" applyFont="1" applyFill="1" applyBorder="1"/>
    <xf numFmtId="0" fontId="24" fillId="0" borderId="0" xfId="0" applyFont="1"/>
    <xf numFmtId="16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4" fontId="25" fillId="0" borderId="0" xfId="0" applyNumberFormat="1" applyFont="1" applyAlignment="1">
      <alignment horizontal="center" vertical="center"/>
    </xf>
    <xf numFmtId="164" fontId="24" fillId="0" borderId="0" xfId="0" applyNumberFormat="1" applyFont="1"/>
    <xf numFmtId="164" fontId="24" fillId="0" borderId="5" xfId="0" applyNumberFormat="1" applyFont="1" applyBorder="1" applyAlignment="1">
      <alignment horizontal="right"/>
    </xf>
    <xf numFmtId="0" fontId="24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/>
    <xf numFmtId="0" fontId="24" fillId="0" borderId="36" xfId="0" applyFont="1" applyBorder="1" applyAlignment="1">
      <alignment vertical="center"/>
    </xf>
    <xf numFmtId="49" fontId="24" fillId="0" borderId="0" xfId="1" applyNumberFormat="1" applyFont="1" applyAlignment="1">
      <alignment horizontal="left" vertical="center"/>
    </xf>
    <xf numFmtId="0" fontId="26" fillId="0" borderId="15" xfId="0" applyFont="1" applyBorder="1" applyAlignment="1">
      <alignment horizontal="center" vertical="center"/>
    </xf>
    <xf numFmtId="4" fontId="26" fillId="0" borderId="15" xfId="1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vertical="center"/>
    </xf>
    <xf numFmtId="49" fontId="26" fillId="0" borderId="37" xfId="1" applyNumberFormat="1" applyFont="1" applyBorder="1" applyAlignment="1">
      <alignment vertical="center"/>
    </xf>
    <xf numFmtId="49" fontId="26" fillId="0" borderId="24" xfId="1" applyNumberFormat="1" applyFont="1" applyBorder="1" applyAlignment="1">
      <alignment vertical="center"/>
    </xf>
    <xf numFmtId="164" fontId="26" fillId="0" borderId="24" xfId="1" applyNumberFormat="1" applyFont="1" applyBorder="1" applyAlignment="1">
      <alignment vertical="center"/>
    </xf>
    <xf numFmtId="49" fontId="26" fillId="0" borderId="38" xfId="1" applyNumberFormat="1" applyFont="1" applyBorder="1" applyAlignment="1">
      <alignment vertical="center"/>
    </xf>
    <xf numFmtId="49" fontId="24" fillId="0" borderId="5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5" xfId="0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5" xfId="0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 vertical="center"/>
    </xf>
    <xf numFmtId="164" fontId="24" fillId="0" borderId="5" xfId="0" applyNumberFormat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left" vertical="center" wrapText="1"/>
    </xf>
    <xf numFmtId="4" fontId="24" fillId="0" borderId="5" xfId="0" applyNumberFormat="1" applyFont="1" applyBorder="1" applyAlignment="1">
      <alignment horizontal="left" vertical="center"/>
    </xf>
    <xf numFmtId="4" fontId="6" fillId="4" borderId="18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/>
    </xf>
    <xf numFmtId="3" fontId="6" fillId="4" borderId="21" xfId="0" applyNumberFormat="1" applyFont="1" applyFill="1" applyBorder="1" applyAlignment="1">
      <alignment horizontal="center" vertical="center"/>
    </xf>
    <xf numFmtId="3" fontId="6" fillId="4" borderId="26" xfId="0" applyNumberFormat="1" applyFont="1" applyFill="1" applyBorder="1" applyAlignment="1">
      <alignment horizontal="center" vertical="center"/>
    </xf>
    <xf numFmtId="4" fontId="6" fillId="4" borderId="23" xfId="0" applyNumberFormat="1" applyFont="1" applyFill="1" applyBorder="1" applyAlignment="1">
      <alignment horizontal="center" vertical="center"/>
    </xf>
    <xf numFmtId="4" fontId="6" fillId="4" borderId="24" xfId="0" applyNumberFormat="1" applyFont="1" applyFill="1" applyBorder="1" applyAlignment="1">
      <alignment horizontal="center" vertical="center"/>
    </xf>
    <xf numFmtId="4" fontId="6" fillId="4" borderId="25" xfId="0" applyNumberFormat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4" fontId="4" fillId="4" borderId="18" xfId="0" applyNumberFormat="1" applyFont="1" applyFill="1" applyBorder="1" applyAlignment="1">
      <alignment horizontal="center" vertical="center"/>
    </xf>
    <xf numFmtId="4" fontId="4" fillId="4" borderId="19" xfId="0" applyNumberFormat="1" applyFont="1" applyFill="1" applyBorder="1" applyAlignment="1">
      <alignment horizontal="center" vertical="center"/>
    </xf>
    <xf numFmtId="4" fontId="4" fillId="4" borderId="20" xfId="0" applyNumberFormat="1" applyFont="1" applyFill="1" applyBorder="1" applyAlignment="1">
      <alignment horizontal="center" vertical="center"/>
    </xf>
    <xf numFmtId="4" fontId="4" fillId="4" borderId="21" xfId="0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4" fontId="4" fillId="4" borderId="23" xfId="0" applyNumberFormat="1" applyFont="1" applyFill="1" applyBorder="1" applyAlignment="1">
      <alignment horizontal="center" vertical="center"/>
    </xf>
    <xf numFmtId="4" fontId="4" fillId="4" borderId="24" xfId="0" applyNumberFormat="1" applyFont="1" applyFill="1" applyBorder="1" applyAlignment="1">
      <alignment horizontal="center" vertical="center"/>
    </xf>
    <xf numFmtId="4" fontId="4" fillId="4" borderId="2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39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left" vertical="center" wrapText="1"/>
    </xf>
    <xf numFmtId="0" fontId="4" fillId="0" borderId="41" xfId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left" vertical="center"/>
    </xf>
    <xf numFmtId="0" fontId="4" fillId="2" borderId="35" xfId="1" applyFont="1" applyFill="1" applyBorder="1" applyAlignment="1">
      <alignment horizontal="left" vertical="center" wrapText="1"/>
    </xf>
  </cellXfs>
  <cellStyles count="3">
    <cellStyle name="Hiperligação" xfId="2" builtinId="8"/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zoomScale="145" zoomScaleNormal="145" workbookViewId="0">
      <selection activeCell="D9" sqref="D9"/>
    </sheetView>
  </sheetViews>
  <sheetFormatPr defaultRowHeight="14.4"/>
  <cols>
    <col min="1" max="1" width="5.77734375" customWidth="1"/>
    <col min="2" max="2" width="37.88671875" customWidth="1"/>
  </cols>
  <sheetData>
    <row r="1" spans="1:2">
      <c r="A1" s="278" t="s">
        <v>58</v>
      </c>
      <c r="B1" s="279" t="s">
        <v>59</v>
      </c>
    </row>
    <row r="2" spans="1:2">
      <c r="A2" s="277">
        <v>1</v>
      </c>
      <c r="B2" s="1" t="s">
        <v>62</v>
      </c>
    </row>
    <row r="3" spans="1:2">
      <c r="A3" s="277">
        <v>2</v>
      </c>
      <c r="B3" s="1" t="s">
        <v>102</v>
      </c>
    </row>
    <row r="4" spans="1:2">
      <c r="A4" s="277">
        <v>3</v>
      </c>
      <c r="B4" s="1" t="s">
        <v>63</v>
      </c>
    </row>
    <row r="5" spans="1:2">
      <c r="A5" s="277">
        <v>4</v>
      </c>
      <c r="B5" s="1" t="s">
        <v>64</v>
      </c>
    </row>
    <row r="6" spans="1:2">
      <c r="A6" s="277">
        <v>5</v>
      </c>
      <c r="B6" s="1" t="s">
        <v>65</v>
      </c>
    </row>
    <row r="7" spans="1:2">
      <c r="A7" s="277">
        <v>6</v>
      </c>
      <c r="B7" s="1" t="s">
        <v>66</v>
      </c>
    </row>
    <row r="8" spans="1:2">
      <c r="A8" s="277">
        <v>7</v>
      </c>
      <c r="B8" s="1" t="s">
        <v>67</v>
      </c>
    </row>
    <row r="9" spans="1:2">
      <c r="A9" s="277">
        <v>8</v>
      </c>
      <c r="B9" s="1" t="s">
        <v>68</v>
      </c>
    </row>
    <row r="10" spans="1:2">
      <c r="A10" s="277">
        <v>9</v>
      </c>
      <c r="B10" s="1" t="s">
        <v>69</v>
      </c>
    </row>
  </sheetData>
  <sortState ref="A2:B12">
    <sortCondition ref="A1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E62" sqref="E62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" customWidth="1"/>
  </cols>
  <sheetData>
    <row r="1" spans="1:7">
      <c r="A1" s="16" t="s">
        <v>1</v>
      </c>
      <c r="B1" s="335" t="s">
        <v>46</v>
      </c>
      <c r="C1" s="335"/>
      <c r="D1" s="335"/>
      <c r="E1" s="335"/>
      <c r="F1" s="17"/>
      <c r="G1" s="18"/>
    </row>
    <row r="2" spans="1:7">
      <c r="A2" s="16" t="s">
        <v>2</v>
      </c>
      <c r="B2" s="19"/>
      <c r="C2" s="18"/>
      <c r="D2" s="18"/>
      <c r="E2" s="20"/>
      <c r="F2" s="324"/>
      <c r="G2" s="324"/>
    </row>
    <row r="3" spans="1:7">
      <c r="A3" s="16" t="s">
        <v>3</v>
      </c>
      <c r="B3" s="335" t="s">
        <v>267</v>
      </c>
      <c r="C3" s="335"/>
      <c r="D3" s="335"/>
      <c r="E3" s="335"/>
      <c r="F3" s="324" t="s">
        <v>115</v>
      </c>
      <c r="G3" s="324"/>
    </row>
    <row r="4" spans="1:7" ht="15" thickBot="1">
      <c r="A4" s="18"/>
      <c r="B4" s="19"/>
      <c r="C4" s="18"/>
      <c r="D4" s="18"/>
      <c r="E4" s="21"/>
      <c r="F4" s="21"/>
      <c r="G4" s="18"/>
    </row>
    <row r="5" spans="1:7" ht="15" thickBot="1">
      <c r="A5" s="336" t="s">
        <v>4</v>
      </c>
      <c r="B5" s="336" t="s">
        <v>5</v>
      </c>
      <c r="C5" s="336" t="s">
        <v>6</v>
      </c>
      <c r="D5" s="340" t="s">
        <v>7</v>
      </c>
      <c r="E5" s="341" t="s">
        <v>8</v>
      </c>
      <c r="F5" s="336" t="s">
        <v>9</v>
      </c>
      <c r="G5" s="336"/>
    </row>
    <row r="6" spans="1:7" ht="15" thickBot="1">
      <c r="A6" s="336"/>
      <c r="B6" s="336" t="s">
        <v>10</v>
      </c>
      <c r="C6" s="336" t="s">
        <v>11</v>
      </c>
      <c r="D6" s="340" t="s">
        <v>12</v>
      </c>
      <c r="E6" s="341"/>
      <c r="F6" s="22" t="s">
        <v>13</v>
      </c>
      <c r="G6" s="23" t="s">
        <v>14</v>
      </c>
    </row>
    <row r="7" spans="1:7" ht="15" thickBot="1">
      <c r="A7" s="336"/>
      <c r="B7" s="336"/>
      <c r="C7" s="336"/>
      <c r="D7" s="336"/>
      <c r="E7" s="336"/>
      <c r="F7" s="336"/>
      <c r="G7" s="336"/>
    </row>
    <row r="8" spans="1:7" ht="15" thickBot="1">
      <c r="A8" s="24">
        <v>1</v>
      </c>
      <c r="B8" s="334" t="s">
        <v>15</v>
      </c>
      <c r="C8" s="334"/>
      <c r="D8" s="334"/>
      <c r="E8" s="334"/>
      <c r="F8" s="334"/>
      <c r="G8" s="25">
        <f>F10</f>
        <v>0</v>
      </c>
    </row>
    <row r="9" spans="1:7">
      <c r="A9" s="26"/>
      <c r="B9" s="19"/>
      <c r="C9" s="19"/>
      <c r="D9" s="19"/>
      <c r="E9" s="27"/>
      <c r="F9" s="27"/>
      <c r="G9" s="28"/>
    </row>
    <row r="10" spans="1:7" ht="55.2">
      <c r="A10" s="29" t="s">
        <v>16</v>
      </c>
      <c r="B10" s="30" t="s">
        <v>210</v>
      </c>
      <c r="C10" s="31" t="s">
        <v>74</v>
      </c>
      <c r="D10" s="32">
        <f>0.15*(16.25)</f>
        <v>2.4375</v>
      </c>
      <c r="E10" s="33"/>
      <c r="F10" s="33">
        <f>D10*E10</f>
        <v>0</v>
      </c>
      <c r="G10" s="34"/>
    </row>
    <row r="11" spans="1:7" ht="15" thickBot="1">
      <c r="A11" s="35"/>
      <c r="B11" s="36"/>
      <c r="C11" s="36"/>
      <c r="D11" s="36"/>
      <c r="E11" s="37"/>
      <c r="F11" s="37"/>
      <c r="G11" s="38"/>
    </row>
    <row r="12" spans="1:7" ht="15" thickBot="1">
      <c r="A12" s="24">
        <v>2</v>
      </c>
      <c r="B12" s="334" t="s">
        <v>179</v>
      </c>
      <c r="C12" s="334"/>
      <c r="D12" s="334"/>
      <c r="E12" s="334"/>
      <c r="F12" s="334"/>
      <c r="G12" s="25">
        <f>F15+F16+F17</f>
        <v>0</v>
      </c>
    </row>
    <row r="13" spans="1:7">
      <c r="A13" s="97"/>
      <c r="B13" s="98"/>
      <c r="C13" s="98"/>
      <c r="D13" s="98"/>
      <c r="E13" s="99"/>
      <c r="F13" s="99"/>
      <c r="G13" s="100"/>
    </row>
    <row r="14" spans="1:7" ht="96.6">
      <c r="A14" s="57" t="s">
        <v>18</v>
      </c>
      <c r="B14" s="101" t="s">
        <v>19</v>
      </c>
      <c r="C14" s="102"/>
      <c r="D14" s="48"/>
      <c r="E14" s="49"/>
      <c r="F14" s="49"/>
      <c r="G14" s="103"/>
    </row>
    <row r="15" spans="1:7" ht="15">
      <c r="A15" s="66" t="s">
        <v>47</v>
      </c>
      <c r="B15" s="63" t="s">
        <v>21</v>
      </c>
      <c r="C15" s="31" t="s">
        <v>74</v>
      </c>
      <c r="D15" s="32">
        <f>0.2*0.2*3*6</f>
        <v>0.7200000000000002</v>
      </c>
      <c r="E15" s="33"/>
      <c r="F15" s="33">
        <f>D15*E15</f>
        <v>0</v>
      </c>
      <c r="G15" s="65"/>
    </row>
    <row r="16" spans="1:7" ht="15">
      <c r="A16" s="66" t="s">
        <v>48</v>
      </c>
      <c r="B16" s="63" t="s">
        <v>22</v>
      </c>
      <c r="C16" s="31" t="s">
        <v>74</v>
      </c>
      <c r="D16" s="32">
        <f>0.2*0.4*(3.92+3.74+2.44+3.74+3.16+3.43+3.44+2.26+2.26+2.79+2.79)</f>
        <v>2.7176000000000005</v>
      </c>
      <c r="E16" s="33"/>
      <c r="F16" s="33">
        <f>D16*E16</f>
        <v>0</v>
      </c>
      <c r="G16" s="65"/>
    </row>
    <row r="17" spans="1:7" ht="15">
      <c r="A17" s="66" t="s">
        <v>84</v>
      </c>
      <c r="B17" s="63" t="s">
        <v>23</v>
      </c>
      <c r="C17" s="31" t="s">
        <v>74</v>
      </c>
      <c r="D17" s="32">
        <f>0.15*(13.18+5.52+8.82)</f>
        <v>4.1280000000000001</v>
      </c>
      <c r="E17" s="33"/>
      <c r="F17" s="33">
        <f>D17*E17</f>
        <v>0</v>
      </c>
      <c r="G17" s="65"/>
    </row>
    <row r="18" spans="1:7" ht="15" thickBot="1">
      <c r="A18" s="67"/>
      <c r="B18" s="68"/>
      <c r="C18" s="68"/>
      <c r="D18" s="68"/>
      <c r="E18" s="69"/>
      <c r="F18" s="69"/>
      <c r="G18" s="70"/>
    </row>
    <row r="19" spans="1:7" ht="15" thickBot="1">
      <c r="A19" s="24">
        <v>3</v>
      </c>
      <c r="B19" s="334" t="s">
        <v>180</v>
      </c>
      <c r="C19" s="334"/>
      <c r="D19" s="334"/>
      <c r="E19" s="334"/>
      <c r="F19" s="334"/>
      <c r="G19" s="25">
        <f>F21</f>
        <v>0</v>
      </c>
    </row>
    <row r="20" spans="1:7">
      <c r="A20" s="71"/>
      <c r="B20" s="72"/>
      <c r="C20" s="72"/>
      <c r="D20" s="72"/>
      <c r="E20" s="73"/>
      <c r="F20" s="73"/>
      <c r="G20" s="74"/>
    </row>
    <row r="21" spans="1:7" ht="69">
      <c r="A21" s="75" t="s">
        <v>24</v>
      </c>
      <c r="B21" s="76" t="s">
        <v>143</v>
      </c>
      <c r="C21" s="31" t="s">
        <v>71</v>
      </c>
      <c r="D21" s="32">
        <f>(0.8*(4.59+4.59+2.79+2.79+0.58+3.16))-(0.1*(1.57+0.9))+(1*(2.46+2.44))-(0.3*0.78)+(0.8*(3.74+3.92+3.92+2.14+3.43+3.44))</f>
        <v>35.691000000000003</v>
      </c>
      <c r="E21" s="33"/>
      <c r="F21" s="33">
        <f>D21*E21</f>
        <v>0</v>
      </c>
      <c r="G21" s="65"/>
    </row>
    <row r="22" spans="1:7" ht="15" thickBot="1">
      <c r="A22" s="77"/>
      <c r="B22" s="78"/>
      <c r="C22" s="53"/>
      <c r="D22" s="54"/>
      <c r="E22" s="55"/>
      <c r="F22" s="55"/>
      <c r="G22" s="79"/>
    </row>
    <row r="23" spans="1:7" ht="15" thickBot="1">
      <c r="A23" s="24">
        <v>4</v>
      </c>
      <c r="B23" s="334" t="s">
        <v>183</v>
      </c>
      <c r="C23" s="334"/>
      <c r="D23" s="334"/>
      <c r="E23" s="334"/>
      <c r="F23" s="334"/>
      <c r="G23" s="25">
        <f>SUM(F24:F31)</f>
        <v>0</v>
      </c>
    </row>
    <row r="24" spans="1:7">
      <c r="A24" s="80"/>
      <c r="B24" s="81"/>
      <c r="C24" s="41"/>
      <c r="D24" s="42"/>
      <c r="E24" s="43"/>
      <c r="F24" s="43"/>
      <c r="G24" s="82"/>
    </row>
    <row r="25" spans="1:7" ht="69">
      <c r="A25" s="234" t="s">
        <v>26</v>
      </c>
      <c r="B25" s="104" t="s">
        <v>249</v>
      </c>
      <c r="C25" s="235" t="s">
        <v>71</v>
      </c>
      <c r="D25" s="236">
        <f>(2.8*(3.43+4.99+0.58+2.99+3.56))-(1.57*1+0.9*2.1+0.9*1+0.85*2.1)</f>
        <v>37.394999999999996</v>
      </c>
      <c r="E25" s="33"/>
      <c r="F25" s="237">
        <f>+D25*E25</f>
        <v>0</v>
      </c>
      <c r="G25" s="238"/>
    </row>
    <row r="26" spans="1:7" ht="69">
      <c r="A26" s="234" t="s">
        <v>129</v>
      </c>
      <c r="B26" s="104" t="s">
        <v>212</v>
      </c>
      <c r="C26" s="235" t="s">
        <v>71</v>
      </c>
      <c r="D26" s="236">
        <f>(2.8*(3.16+3.16+2.79+2.79))-(1.57*1+0.8*2.1+0.9*2.1)+(2.8*(2.14+2.14))-(0.8*2.1+0.8*2.1)+(2.18*(4.58+3.74+2.13+2.64+2.46+1.1))-(0.78*2.1+0.8*2.1+0.8*2.1)</f>
        <v>68.102999999999994</v>
      </c>
      <c r="E26" s="33"/>
      <c r="F26" s="237">
        <f>+D26*E27</f>
        <v>0</v>
      </c>
      <c r="G26" s="238"/>
    </row>
    <row r="27" spans="1:7" ht="27.6">
      <c r="A27" s="234" t="s">
        <v>130</v>
      </c>
      <c r="B27" s="104" t="s">
        <v>213</v>
      </c>
      <c r="C27" s="235" t="s">
        <v>71</v>
      </c>
      <c r="D27" s="236">
        <f>(2.8*(3.43+4.99+0.58+2.99+3.56))-(1.57*1+0.9*2.1+0.9*1+0.85*2.1)</f>
        <v>37.394999999999996</v>
      </c>
      <c r="E27" s="33"/>
      <c r="F27" s="237">
        <f>+D27*E29</f>
        <v>0</v>
      </c>
      <c r="G27" s="238"/>
    </row>
    <row r="28" spans="1:7" ht="27.6">
      <c r="A28" s="234" t="s">
        <v>268</v>
      </c>
      <c r="B28" s="104" t="s">
        <v>214</v>
      </c>
      <c r="C28" s="235" t="s">
        <v>71</v>
      </c>
      <c r="D28" s="236">
        <f>(2.8*(3.16+3.16+2.79+2.79))-(1.57*1+0.8*2.1+0.9*2.1)+(2.8*(2.14+2.14))-(0.8*2.1+0.8*2.1)+(2.18*(4.58+3.74+2.13+2.64+2.46+1.1))-(0.78*2.1+0.8*2.1+0.8*2.1)</f>
        <v>68.102999999999994</v>
      </c>
      <c r="E28" s="33"/>
      <c r="F28" s="237">
        <f>+D28*E28</f>
        <v>0</v>
      </c>
      <c r="G28" s="238"/>
    </row>
    <row r="29" spans="1:7" ht="55.2">
      <c r="A29" s="234" t="s">
        <v>269</v>
      </c>
      <c r="B29" s="104" t="s">
        <v>270</v>
      </c>
      <c r="C29" s="31" t="s">
        <v>71</v>
      </c>
      <c r="D29" s="32">
        <f>(5.67+20.3)</f>
        <v>25.97</v>
      </c>
      <c r="E29" s="33"/>
      <c r="F29" s="33">
        <f>D29*E29</f>
        <v>0</v>
      </c>
      <c r="G29" s="65"/>
    </row>
    <row r="30" spans="1:7" ht="27.6">
      <c r="A30" s="234" t="s">
        <v>271</v>
      </c>
      <c r="B30" s="76" t="s">
        <v>135</v>
      </c>
      <c r="C30" s="31" t="s">
        <v>71</v>
      </c>
      <c r="D30" s="32">
        <f>(6.08+13.05+17.17+8.82)</f>
        <v>45.120000000000005</v>
      </c>
      <c r="E30" s="33"/>
      <c r="F30" s="33">
        <f>D30*E30</f>
        <v>0</v>
      </c>
      <c r="G30" s="65"/>
    </row>
    <row r="31" spans="1:7" ht="15" thickBot="1">
      <c r="A31" s="77"/>
      <c r="B31" s="78"/>
      <c r="C31" s="53"/>
      <c r="D31" s="54"/>
      <c r="E31" s="55"/>
      <c r="F31" s="55"/>
      <c r="G31" s="79"/>
    </row>
    <row r="32" spans="1:7" ht="15" thickBot="1">
      <c r="A32" s="24">
        <v>5</v>
      </c>
      <c r="B32" s="334" t="s">
        <v>272</v>
      </c>
      <c r="C32" s="334"/>
      <c r="D32" s="334"/>
      <c r="E32" s="334"/>
      <c r="F32" s="334"/>
      <c r="G32" s="25">
        <f>F35+F40+F41+F42</f>
        <v>0</v>
      </c>
    </row>
    <row r="33" spans="1:7">
      <c r="A33" s="80"/>
      <c r="B33" s="81"/>
      <c r="C33" s="83"/>
      <c r="D33" s="42"/>
      <c r="E33" s="43"/>
      <c r="F33" s="43"/>
      <c r="G33" s="82"/>
    </row>
    <row r="34" spans="1:7">
      <c r="A34" s="75" t="s">
        <v>27</v>
      </c>
      <c r="B34" s="239" t="s">
        <v>79</v>
      </c>
      <c r="C34" s="239"/>
      <c r="D34" s="239"/>
      <c r="E34" s="239"/>
      <c r="F34" s="239"/>
      <c r="G34" s="240"/>
    </row>
    <row r="35" spans="1:7" ht="69">
      <c r="A35" s="75" t="s">
        <v>185</v>
      </c>
      <c r="B35" s="104" t="s">
        <v>212</v>
      </c>
      <c r="C35" s="31" t="s">
        <v>71</v>
      </c>
      <c r="D35" s="32">
        <f>(2.8*(2.26+2.26+2.44+2.44))-(0.78*2.1)</f>
        <v>24.681999999999992</v>
      </c>
      <c r="E35" s="33"/>
      <c r="F35" s="33">
        <f>D35*E35</f>
        <v>0</v>
      </c>
      <c r="G35" s="65"/>
    </row>
    <row r="36" spans="1:7" ht="27.6">
      <c r="A36" s="75" t="s">
        <v>186</v>
      </c>
      <c r="B36" s="104" t="s">
        <v>214</v>
      </c>
      <c r="C36" s="235" t="s">
        <v>71</v>
      </c>
      <c r="D36" s="32">
        <f>(2.8*(2.26+2.26+2.44+2.44))-(0.78*2.1+0.8*2.1+0.8*2.1)</f>
        <v>21.321999999999992</v>
      </c>
      <c r="E36" s="33"/>
      <c r="F36" s="237">
        <f>D36*E36</f>
        <v>0</v>
      </c>
      <c r="G36" s="238"/>
    </row>
    <row r="37" spans="1:7" ht="55.2">
      <c r="A37" s="75" t="s">
        <v>187</v>
      </c>
      <c r="B37" s="76" t="s">
        <v>103</v>
      </c>
      <c r="C37" s="31" t="s">
        <v>71</v>
      </c>
      <c r="D37" s="32">
        <f>(2.1*(0.8+0.8))</f>
        <v>3.3600000000000003</v>
      </c>
      <c r="E37" s="33"/>
      <c r="F37" s="33">
        <f t="shared" ref="F37:F38" si="0">D37*E37</f>
        <v>0</v>
      </c>
      <c r="G37" s="65"/>
    </row>
    <row r="38" spans="1:7" ht="55.2">
      <c r="A38" s="75" t="s">
        <v>188</v>
      </c>
      <c r="B38" s="76" t="s">
        <v>105</v>
      </c>
      <c r="C38" s="31" t="s">
        <v>71</v>
      </c>
      <c r="D38" s="236">
        <f>5.51</f>
        <v>5.51</v>
      </c>
      <c r="E38" s="33"/>
      <c r="F38" s="33">
        <f t="shared" si="0"/>
        <v>0</v>
      </c>
      <c r="G38" s="65"/>
    </row>
    <row r="39" spans="1:7">
      <c r="A39" s="75" t="s">
        <v>51</v>
      </c>
      <c r="B39" s="239" t="s">
        <v>29</v>
      </c>
      <c r="C39" s="239"/>
      <c r="D39" s="239"/>
      <c r="E39" s="239"/>
      <c r="F39" s="239"/>
      <c r="G39" s="240"/>
    </row>
    <row r="40" spans="1:7" ht="69">
      <c r="A40" s="75" t="s">
        <v>273</v>
      </c>
      <c r="B40" s="76" t="s">
        <v>30</v>
      </c>
      <c r="C40" s="31" t="s">
        <v>76</v>
      </c>
      <c r="D40" s="32">
        <v>1</v>
      </c>
      <c r="E40" s="33"/>
      <c r="F40" s="33">
        <f>D40*E40</f>
        <v>0</v>
      </c>
      <c r="G40" s="65"/>
    </row>
    <row r="41" spans="1:7" ht="69">
      <c r="A41" s="75" t="s">
        <v>274</v>
      </c>
      <c r="B41" s="76" t="s">
        <v>31</v>
      </c>
      <c r="C41" s="31" t="s">
        <v>76</v>
      </c>
      <c r="D41" s="32">
        <v>1</v>
      </c>
      <c r="E41" s="33"/>
      <c r="F41" s="33">
        <f>D41*E41</f>
        <v>0</v>
      </c>
      <c r="G41" s="65"/>
    </row>
    <row r="42" spans="1:7" ht="69">
      <c r="A42" s="75" t="s">
        <v>275</v>
      </c>
      <c r="B42" s="76" t="s">
        <v>80</v>
      </c>
      <c r="C42" s="31" t="s">
        <v>76</v>
      </c>
      <c r="D42" s="32">
        <v>1</v>
      </c>
      <c r="E42" s="33"/>
      <c r="F42" s="33">
        <f>D42*E42</f>
        <v>0</v>
      </c>
      <c r="G42" s="65"/>
    </row>
    <row r="43" spans="1:7" ht="15" thickBot="1">
      <c r="A43" s="77"/>
      <c r="B43" s="78"/>
      <c r="C43" s="84"/>
      <c r="D43" s="54"/>
      <c r="E43" s="55"/>
      <c r="F43" s="55"/>
      <c r="G43" s="79"/>
    </row>
    <row r="44" spans="1:7" ht="15" thickBot="1">
      <c r="A44" s="24">
        <v>6</v>
      </c>
      <c r="B44" s="334" t="s">
        <v>53</v>
      </c>
      <c r="C44" s="334"/>
      <c r="D44" s="334"/>
      <c r="E44" s="334"/>
      <c r="F44" s="334"/>
      <c r="G44" s="25">
        <f>F46</f>
        <v>0</v>
      </c>
    </row>
    <row r="45" spans="1:7">
      <c r="A45" s="80"/>
      <c r="B45" s="81"/>
      <c r="C45" s="83"/>
      <c r="D45" s="42"/>
      <c r="E45" s="43"/>
      <c r="F45" s="43"/>
      <c r="G45" s="82"/>
    </row>
    <row r="46" spans="1:7" ht="55.2">
      <c r="A46" s="85" t="s">
        <v>32</v>
      </c>
      <c r="B46" s="86" t="s">
        <v>217</v>
      </c>
      <c r="C46" s="87" t="s">
        <v>28</v>
      </c>
      <c r="D46" s="88">
        <v>1</v>
      </c>
      <c r="E46" s="89"/>
      <c r="F46" s="89">
        <f>D46*E46</f>
        <v>0</v>
      </c>
      <c r="G46" s="90"/>
    </row>
    <row r="47" spans="1:7" ht="15" thickBot="1">
      <c r="A47" s="77"/>
      <c r="B47" s="78"/>
      <c r="C47" s="84"/>
      <c r="D47" s="54"/>
      <c r="E47" s="55"/>
      <c r="F47" s="55"/>
      <c r="G47" s="79"/>
    </row>
    <row r="48" spans="1:7" ht="15" thickBot="1">
      <c r="A48" s="24">
        <v>7</v>
      </c>
      <c r="B48" s="334" t="s">
        <v>276</v>
      </c>
      <c r="C48" s="334"/>
      <c r="D48" s="334"/>
      <c r="E48" s="334"/>
      <c r="F48" s="334"/>
      <c r="G48" s="25">
        <f>F50+F51</f>
        <v>0</v>
      </c>
    </row>
    <row r="49" spans="1:7">
      <c r="A49" s="80"/>
      <c r="B49" s="81"/>
      <c r="C49" s="41"/>
      <c r="D49" s="42"/>
      <c r="E49" s="43"/>
      <c r="F49" s="43"/>
      <c r="G49" s="82"/>
    </row>
    <row r="50" spans="1:7" ht="69">
      <c r="A50" s="75" t="s">
        <v>33</v>
      </c>
      <c r="B50" s="76" t="s">
        <v>255</v>
      </c>
      <c r="C50" s="87" t="s">
        <v>28</v>
      </c>
      <c r="D50" s="32">
        <v>1</v>
      </c>
      <c r="E50" s="33"/>
      <c r="F50" s="33">
        <f>D50*E50</f>
        <v>0</v>
      </c>
      <c r="G50" s="65"/>
    </row>
    <row r="51" spans="1:7" ht="55.2">
      <c r="A51" s="75" t="s">
        <v>70</v>
      </c>
      <c r="B51" s="76" t="s">
        <v>220</v>
      </c>
      <c r="C51" s="87" t="s">
        <v>28</v>
      </c>
      <c r="D51" s="32">
        <v>1</v>
      </c>
      <c r="E51" s="33"/>
      <c r="F51" s="33">
        <f>D51*E51</f>
        <v>0</v>
      </c>
      <c r="G51" s="65"/>
    </row>
    <row r="52" spans="1:7" ht="15" thickBot="1">
      <c r="A52" s="77"/>
      <c r="B52" s="91"/>
      <c r="C52" s="92"/>
      <c r="D52" s="93"/>
      <c r="E52" s="55"/>
      <c r="F52" s="55"/>
      <c r="G52" s="79"/>
    </row>
    <row r="53" spans="1:7" ht="15" thickBot="1">
      <c r="A53" s="24">
        <v>8</v>
      </c>
      <c r="B53" s="334" t="s">
        <v>55</v>
      </c>
      <c r="C53" s="334"/>
      <c r="D53" s="334"/>
      <c r="E53" s="334"/>
      <c r="F53" s="334"/>
      <c r="G53" s="25">
        <f>F55+F56+F57+F58</f>
        <v>0</v>
      </c>
    </row>
    <row r="54" spans="1:7">
      <c r="A54" s="80"/>
      <c r="B54" s="81"/>
      <c r="C54" s="41"/>
      <c r="D54" s="42"/>
      <c r="E54" s="43"/>
      <c r="F54" s="43"/>
      <c r="G54" s="82"/>
    </row>
    <row r="55" spans="1:7" ht="82.8">
      <c r="A55" s="75" t="s">
        <v>36</v>
      </c>
      <c r="B55" s="76" t="s">
        <v>256</v>
      </c>
      <c r="C55" s="31" t="s">
        <v>28</v>
      </c>
      <c r="D55" s="32">
        <v>1</v>
      </c>
      <c r="E55" s="33"/>
      <c r="F55" s="33">
        <f>D55*E55</f>
        <v>0</v>
      </c>
      <c r="G55" s="65"/>
    </row>
    <row r="56" spans="1:7" ht="69">
      <c r="A56" s="75" t="s">
        <v>191</v>
      </c>
      <c r="B56" s="76" t="s">
        <v>257</v>
      </c>
      <c r="C56" s="31" t="s">
        <v>28</v>
      </c>
      <c r="D56" s="32">
        <v>1</v>
      </c>
      <c r="E56" s="33"/>
      <c r="F56" s="33">
        <f>D56*E56</f>
        <v>0</v>
      </c>
      <c r="G56" s="65"/>
    </row>
    <row r="57" spans="1:7" ht="69">
      <c r="A57" s="75" t="s">
        <v>277</v>
      </c>
      <c r="B57" s="76" t="s">
        <v>221</v>
      </c>
      <c r="C57" s="31" t="s">
        <v>28</v>
      </c>
      <c r="D57" s="32">
        <v>1</v>
      </c>
      <c r="E57" s="33"/>
      <c r="F57" s="33">
        <f>D57*E57</f>
        <v>0</v>
      </c>
      <c r="G57" s="65"/>
    </row>
    <row r="58" spans="1:7" ht="55.2">
      <c r="A58" s="75" t="s">
        <v>278</v>
      </c>
      <c r="B58" s="104" t="s">
        <v>260</v>
      </c>
      <c r="C58" s="31" t="s">
        <v>28</v>
      </c>
      <c r="D58" s="32">
        <v>1</v>
      </c>
      <c r="E58" s="33"/>
      <c r="F58" s="33">
        <f>D58*E58</f>
        <v>0</v>
      </c>
      <c r="G58" s="65"/>
    </row>
    <row r="59" spans="1:7" ht="15" thickBot="1">
      <c r="A59" s="77"/>
      <c r="B59" s="91"/>
      <c r="C59" s="92"/>
      <c r="D59" s="93"/>
      <c r="E59" s="55"/>
      <c r="F59" s="55"/>
      <c r="G59" s="79"/>
    </row>
    <row r="60" spans="1:7" ht="15" thickBot="1">
      <c r="A60" s="24">
        <v>9</v>
      </c>
      <c r="B60" s="334" t="s">
        <v>56</v>
      </c>
      <c r="C60" s="334"/>
      <c r="D60" s="334"/>
      <c r="E60" s="334"/>
      <c r="F60" s="334"/>
      <c r="G60" s="25">
        <f>F62</f>
        <v>0</v>
      </c>
    </row>
    <row r="61" spans="1:7">
      <c r="A61" s="80"/>
      <c r="B61" s="81"/>
      <c r="C61" s="41"/>
      <c r="D61" s="42"/>
      <c r="E61" s="43"/>
      <c r="F61" s="43"/>
      <c r="G61" s="82"/>
    </row>
    <row r="62" spans="1:7" ht="69">
      <c r="A62" s="85" t="s">
        <v>37</v>
      </c>
      <c r="B62" s="96" t="s">
        <v>222</v>
      </c>
      <c r="C62" s="87" t="s">
        <v>28</v>
      </c>
      <c r="D62" s="88">
        <v>1</v>
      </c>
      <c r="E62" s="89"/>
      <c r="F62" s="89">
        <f>D62*E62</f>
        <v>0</v>
      </c>
      <c r="G62" s="90"/>
    </row>
    <row r="63" spans="1:7" ht="55.2">
      <c r="A63" s="85" t="s">
        <v>136</v>
      </c>
      <c r="B63" s="76" t="s">
        <v>103</v>
      </c>
      <c r="C63" s="31" t="s">
        <v>71</v>
      </c>
      <c r="D63" s="32">
        <f>(0.6*1.8)</f>
        <v>1.08</v>
      </c>
      <c r="E63" s="33"/>
      <c r="F63" s="33">
        <f t="shared" ref="F63" si="1">D63*E63</f>
        <v>0</v>
      </c>
      <c r="G63" s="65"/>
    </row>
    <row r="64" spans="1:7" ht="15" thickBot="1">
      <c r="A64" s="77"/>
      <c r="B64" s="78"/>
      <c r="C64" s="53"/>
      <c r="D64" s="54"/>
      <c r="E64" s="55"/>
      <c r="F64" s="55"/>
      <c r="G64" s="79"/>
    </row>
    <row r="65" spans="1:7" ht="15" thickBot="1">
      <c r="A65" s="241">
        <v>10</v>
      </c>
      <c r="B65" s="333" t="s">
        <v>279</v>
      </c>
      <c r="C65" s="333"/>
      <c r="D65" s="333"/>
      <c r="E65" s="333"/>
      <c r="F65" s="333"/>
      <c r="G65" s="242">
        <f>SUM(F66:F69)</f>
        <v>0</v>
      </c>
    </row>
    <row r="66" spans="1:7">
      <c r="A66" s="243"/>
      <c r="B66" s="244"/>
      <c r="C66" s="245"/>
      <c r="D66" s="246"/>
      <c r="E66" s="247"/>
      <c r="F66" s="247"/>
      <c r="G66" s="248"/>
    </row>
    <row r="67" spans="1:7" ht="69">
      <c r="A67" s="234" t="s">
        <v>44</v>
      </c>
      <c r="B67" s="76" t="s">
        <v>280</v>
      </c>
      <c r="C67" s="235" t="s">
        <v>77</v>
      </c>
      <c r="D67" s="236">
        <v>1</v>
      </c>
      <c r="E67" s="237"/>
      <c r="F67" s="237">
        <f t="shared" ref="F67:F68" si="2">+D67*E67</f>
        <v>0</v>
      </c>
      <c r="G67" s="238"/>
    </row>
    <row r="68" spans="1:7" ht="69">
      <c r="A68" s="234" t="s">
        <v>83</v>
      </c>
      <c r="B68" s="76" t="s">
        <v>281</v>
      </c>
      <c r="C68" s="235" t="s">
        <v>77</v>
      </c>
      <c r="D68" s="236">
        <v>1</v>
      </c>
      <c r="E68" s="237"/>
      <c r="F68" s="237">
        <f t="shared" si="2"/>
        <v>0</v>
      </c>
      <c r="G68" s="238"/>
    </row>
    <row r="69" spans="1:7" ht="15" thickBot="1">
      <c r="A69" s="249"/>
      <c r="B69" s="250"/>
      <c r="C69" s="251"/>
      <c r="D69" s="252"/>
      <c r="E69" s="253"/>
      <c r="F69" s="253"/>
      <c r="G69" s="254"/>
    </row>
    <row r="70" spans="1:7" ht="15" thickBot="1">
      <c r="A70" s="241">
        <v>11</v>
      </c>
      <c r="B70" s="333" t="s">
        <v>60</v>
      </c>
      <c r="C70" s="333"/>
      <c r="D70" s="333"/>
      <c r="E70" s="333"/>
      <c r="F70" s="333"/>
      <c r="G70" s="242">
        <f>SUM(F71:F79)</f>
        <v>0</v>
      </c>
    </row>
    <row r="71" spans="1:7">
      <c r="A71" s="243"/>
      <c r="B71" s="244"/>
      <c r="C71" s="245"/>
      <c r="D71" s="246"/>
      <c r="E71" s="247"/>
      <c r="F71" s="247"/>
      <c r="G71" s="248"/>
    </row>
    <row r="72" spans="1:7" ht="41.4">
      <c r="A72" s="234" t="s">
        <v>45</v>
      </c>
      <c r="B72" s="104" t="s">
        <v>282</v>
      </c>
      <c r="C72" s="235" t="s">
        <v>77</v>
      </c>
      <c r="D72" s="236">
        <v>1</v>
      </c>
      <c r="E72" s="237"/>
      <c r="F72" s="237">
        <f t="shared" ref="F72:F78" si="3">+D72*E72</f>
        <v>0</v>
      </c>
      <c r="G72" s="238"/>
    </row>
    <row r="73" spans="1:7" ht="41.4">
      <c r="A73" s="234" t="s">
        <v>61</v>
      </c>
      <c r="B73" s="104" t="s">
        <v>283</v>
      </c>
      <c r="C73" s="235" t="s">
        <v>77</v>
      </c>
      <c r="D73" s="236">
        <v>1</v>
      </c>
      <c r="E73" s="237"/>
      <c r="F73" s="237">
        <f t="shared" si="3"/>
        <v>0</v>
      </c>
      <c r="G73" s="238"/>
    </row>
    <row r="74" spans="1:7" ht="41.4">
      <c r="A74" s="234" t="s">
        <v>117</v>
      </c>
      <c r="B74" s="104" t="s">
        <v>284</v>
      </c>
      <c r="C74" s="235" t="s">
        <v>77</v>
      </c>
      <c r="D74" s="236">
        <v>3</v>
      </c>
      <c r="E74" s="237"/>
      <c r="F74" s="237">
        <f t="shared" si="3"/>
        <v>0</v>
      </c>
      <c r="G74" s="238"/>
    </row>
    <row r="75" spans="1:7" ht="41.4">
      <c r="A75" s="234" t="s">
        <v>119</v>
      </c>
      <c r="B75" s="104" t="s">
        <v>285</v>
      </c>
      <c r="C75" s="235" t="s">
        <v>77</v>
      </c>
      <c r="D75" s="236">
        <v>1</v>
      </c>
      <c r="E75" s="237"/>
      <c r="F75" s="237">
        <f t="shared" si="3"/>
        <v>0</v>
      </c>
      <c r="G75" s="238"/>
    </row>
    <row r="76" spans="1:7" ht="41.4">
      <c r="A76" s="234" t="s">
        <v>228</v>
      </c>
      <c r="B76" s="104" t="s">
        <v>286</v>
      </c>
      <c r="C76" s="235" t="s">
        <v>77</v>
      </c>
      <c r="D76" s="236">
        <v>1</v>
      </c>
      <c r="E76" s="237"/>
      <c r="F76" s="237">
        <f t="shared" si="3"/>
        <v>0</v>
      </c>
      <c r="G76" s="238"/>
    </row>
    <row r="77" spans="1:7" ht="41.4">
      <c r="A77" s="234" t="s">
        <v>230</v>
      </c>
      <c r="B77" s="104" t="s">
        <v>287</v>
      </c>
      <c r="C77" s="235" t="s">
        <v>77</v>
      </c>
      <c r="D77" s="236">
        <v>1</v>
      </c>
      <c r="E77" s="237"/>
      <c r="F77" s="237">
        <f t="shared" si="3"/>
        <v>0</v>
      </c>
      <c r="G77" s="238"/>
    </row>
    <row r="78" spans="1:7" ht="41.4">
      <c r="A78" s="234" t="s">
        <v>232</v>
      </c>
      <c r="B78" s="104" t="s">
        <v>288</v>
      </c>
      <c r="C78" s="235" t="s">
        <v>77</v>
      </c>
      <c r="D78" s="236">
        <v>1</v>
      </c>
      <c r="E78" s="237"/>
      <c r="F78" s="237">
        <f t="shared" si="3"/>
        <v>0</v>
      </c>
      <c r="G78" s="238"/>
    </row>
    <row r="79" spans="1:7" ht="15" thickBot="1">
      <c r="A79" s="249"/>
      <c r="B79" s="250"/>
      <c r="C79" s="251"/>
      <c r="D79" s="252"/>
      <c r="E79" s="253"/>
      <c r="F79" s="253"/>
      <c r="G79" s="254"/>
    </row>
    <row r="80" spans="1:7" ht="15" thickBot="1">
      <c r="A80" s="24">
        <v>12</v>
      </c>
      <c r="B80" s="334" t="s">
        <v>171</v>
      </c>
      <c r="C80" s="334"/>
      <c r="D80" s="334"/>
      <c r="E80" s="334"/>
      <c r="F80" s="334"/>
      <c r="G80" s="25">
        <f>F82</f>
        <v>0</v>
      </c>
    </row>
    <row r="81" spans="1:7">
      <c r="A81" s="80"/>
      <c r="B81" s="81"/>
      <c r="C81" s="41"/>
      <c r="D81" s="42"/>
      <c r="E81" s="43"/>
      <c r="F81" s="43"/>
      <c r="G81" s="82"/>
    </row>
    <row r="82" spans="1:7" ht="55.2">
      <c r="A82" s="75" t="s">
        <v>165</v>
      </c>
      <c r="B82" s="76" t="s">
        <v>173</v>
      </c>
      <c r="C82" s="31" t="s">
        <v>77</v>
      </c>
      <c r="D82" s="32">
        <v>1</v>
      </c>
      <c r="E82" s="33"/>
      <c r="F82" s="33">
        <f>D82*E82</f>
        <v>0</v>
      </c>
      <c r="G82" s="65"/>
    </row>
    <row r="83" spans="1:7" ht="15" thickBot="1">
      <c r="A83" s="77"/>
      <c r="B83" s="78"/>
      <c r="C83" s="53"/>
      <c r="D83" s="54"/>
      <c r="E83" s="55"/>
      <c r="F83" s="55"/>
      <c r="G83" s="79"/>
    </row>
    <row r="84" spans="1:7" ht="15" thickBot="1">
      <c r="A84" s="94"/>
      <c r="B84" s="340"/>
      <c r="C84" s="340"/>
      <c r="D84" s="340"/>
      <c r="E84" s="340"/>
      <c r="F84" s="340"/>
      <c r="G84" s="340">
        <f>SUM(G8:G83)</f>
        <v>0</v>
      </c>
    </row>
    <row r="85" spans="1:7" ht="15" thickBot="1">
      <c r="A85" s="94"/>
      <c r="B85" s="342" t="s">
        <v>34</v>
      </c>
      <c r="C85" s="342"/>
      <c r="D85" s="342"/>
      <c r="E85" s="342"/>
      <c r="F85" s="342"/>
      <c r="G85" s="336"/>
    </row>
  </sheetData>
  <mergeCells count="26">
    <mergeCell ref="B70:F70"/>
    <mergeCell ref="B80:F80"/>
    <mergeCell ref="B84:F84"/>
    <mergeCell ref="G84:G85"/>
    <mergeCell ref="B85:F85"/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A7:G7"/>
    <mergeCell ref="B8:F8"/>
    <mergeCell ref="B12:F12"/>
    <mergeCell ref="B19:F19"/>
    <mergeCell ref="B23:F23"/>
    <mergeCell ref="B65:F65"/>
    <mergeCell ref="B32:F32"/>
    <mergeCell ref="B44:F44"/>
    <mergeCell ref="B48:F48"/>
    <mergeCell ref="B53:F53"/>
    <mergeCell ref="B60:F6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activeCell="J57" sqref="J57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" customWidth="1"/>
  </cols>
  <sheetData>
    <row r="1" spans="1:7">
      <c r="A1" s="16" t="s">
        <v>1</v>
      </c>
      <c r="B1" s="335" t="s">
        <v>46</v>
      </c>
      <c r="C1" s="335"/>
      <c r="D1" s="335"/>
      <c r="E1" s="335"/>
      <c r="F1" s="17"/>
      <c r="G1" s="18"/>
    </row>
    <row r="2" spans="1:7">
      <c r="A2" s="16" t="s">
        <v>2</v>
      </c>
      <c r="B2" s="19"/>
      <c r="C2" s="18"/>
      <c r="D2" s="18"/>
      <c r="E2" s="20"/>
      <c r="F2" s="324"/>
      <c r="G2" s="324"/>
    </row>
    <row r="3" spans="1:7">
      <c r="A3" s="16" t="s">
        <v>3</v>
      </c>
      <c r="B3" s="335" t="s">
        <v>289</v>
      </c>
      <c r="C3" s="335"/>
      <c r="D3" s="335"/>
      <c r="E3" s="335"/>
      <c r="F3" s="324" t="s">
        <v>115</v>
      </c>
      <c r="G3" s="324"/>
    </row>
    <row r="4" spans="1:7" ht="15" thickBot="1">
      <c r="A4" s="18"/>
      <c r="B4" s="19"/>
      <c r="C4" s="18"/>
      <c r="D4" s="18"/>
      <c r="E4" s="21"/>
      <c r="F4" s="21"/>
      <c r="G4" s="18"/>
    </row>
    <row r="5" spans="1:7" ht="15" thickBot="1">
      <c r="A5" s="336" t="s">
        <v>4</v>
      </c>
      <c r="B5" s="336" t="s">
        <v>5</v>
      </c>
      <c r="C5" s="336" t="s">
        <v>6</v>
      </c>
      <c r="D5" s="340" t="s">
        <v>7</v>
      </c>
      <c r="E5" s="341" t="s">
        <v>8</v>
      </c>
      <c r="F5" s="336" t="s">
        <v>9</v>
      </c>
      <c r="G5" s="336"/>
    </row>
    <row r="6" spans="1:7" ht="15" thickBot="1">
      <c r="A6" s="336"/>
      <c r="B6" s="336" t="s">
        <v>10</v>
      </c>
      <c r="C6" s="336" t="s">
        <v>11</v>
      </c>
      <c r="D6" s="340" t="s">
        <v>12</v>
      </c>
      <c r="E6" s="341"/>
      <c r="F6" s="22" t="s">
        <v>13</v>
      </c>
      <c r="G6" s="23" t="s">
        <v>14</v>
      </c>
    </row>
    <row r="7" spans="1:7" ht="15" thickBot="1">
      <c r="A7" s="336"/>
      <c r="B7" s="336"/>
      <c r="C7" s="336"/>
      <c r="D7" s="336"/>
      <c r="E7" s="336"/>
      <c r="F7" s="336"/>
      <c r="G7" s="336"/>
    </row>
    <row r="8" spans="1:7" ht="15" customHeight="1" thickBot="1">
      <c r="A8" s="24">
        <v>1</v>
      </c>
      <c r="B8" s="334" t="s">
        <v>15</v>
      </c>
      <c r="C8" s="334"/>
      <c r="D8" s="334"/>
      <c r="E8" s="334"/>
      <c r="F8" s="334"/>
      <c r="G8" s="25">
        <f>F10</f>
        <v>0</v>
      </c>
    </row>
    <row r="9" spans="1:7">
      <c r="A9" s="26"/>
      <c r="B9" s="19"/>
      <c r="C9" s="19"/>
      <c r="D9" s="19"/>
      <c r="E9" s="27"/>
      <c r="F9" s="27"/>
      <c r="G9" s="28"/>
    </row>
    <row r="10" spans="1:7" ht="55.2">
      <c r="A10" s="29" t="s">
        <v>16</v>
      </c>
      <c r="B10" s="30" t="s">
        <v>72</v>
      </c>
      <c r="C10" s="31" t="s">
        <v>71</v>
      </c>
      <c r="D10" s="32">
        <f>(1.35*1+1.35*1)</f>
        <v>2.7</v>
      </c>
      <c r="E10" s="33"/>
      <c r="F10" s="33">
        <f>D10*E10</f>
        <v>0</v>
      </c>
      <c r="G10" s="34"/>
    </row>
    <row r="11" spans="1:7" ht="15" thickBot="1">
      <c r="A11" s="35"/>
      <c r="B11" s="36"/>
      <c r="C11" s="36"/>
      <c r="D11" s="36"/>
      <c r="E11" s="37"/>
      <c r="F11" s="37"/>
      <c r="G11" s="38"/>
    </row>
    <row r="12" spans="1:7" ht="15" thickBot="1">
      <c r="A12" s="24">
        <v>2</v>
      </c>
      <c r="B12" s="334" t="s">
        <v>179</v>
      </c>
      <c r="C12" s="334"/>
      <c r="D12" s="334"/>
      <c r="E12" s="334"/>
      <c r="F12" s="334"/>
      <c r="G12" s="25">
        <f>F15+F16</f>
        <v>0</v>
      </c>
    </row>
    <row r="13" spans="1:7">
      <c r="A13" s="97"/>
      <c r="B13" s="98"/>
      <c r="C13" s="98"/>
      <c r="D13" s="98"/>
      <c r="E13" s="99"/>
      <c r="F13" s="99"/>
      <c r="G13" s="100"/>
    </row>
    <row r="14" spans="1:7" ht="96.6">
      <c r="A14" s="57" t="s">
        <v>18</v>
      </c>
      <c r="B14" s="101" t="s">
        <v>19</v>
      </c>
      <c r="C14" s="102"/>
      <c r="D14" s="48"/>
      <c r="E14" s="49"/>
      <c r="F14" s="49"/>
      <c r="G14" s="103"/>
    </row>
    <row r="15" spans="1:7" ht="15">
      <c r="A15" s="66" t="s">
        <v>47</v>
      </c>
      <c r="B15" s="63" t="s">
        <v>22</v>
      </c>
      <c r="C15" s="31" t="s">
        <v>74</v>
      </c>
      <c r="D15" s="32">
        <f>0.2*0.4*(5.05+1.85+1.85+1.85+3+3+4.46+4.46+3.15)</f>
        <v>2.2936000000000005</v>
      </c>
      <c r="E15" s="33"/>
      <c r="F15" s="33">
        <f>D15*E15</f>
        <v>0</v>
      </c>
      <c r="G15" s="65"/>
    </row>
    <row r="16" spans="1:7" ht="15">
      <c r="A16" s="66" t="s">
        <v>48</v>
      </c>
      <c r="B16" s="63" t="s">
        <v>23</v>
      </c>
      <c r="C16" s="31" t="s">
        <v>74</v>
      </c>
      <c r="D16" s="32">
        <f>0.15*(15.91+2.59+13.38)</f>
        <v>4.782</v>
      </c>
      <c r="E16" s="33"/>
      <c r="F16" s="33">
        <f>D16*E16</f>
        <v>0</v>
      </c>
      <c r="G16" s="65"/>
    </row>
    <row r="17" spans="1:7" ht="15" thickBot="1">
      <c r="A17" s="67"/>
      <c r="B17" s="68"/>
      <c r="C17" s="68"/>
      <c r="D17" s="68"/>
      <c r="E17" s="69"/>
      <c r="F17" s="69"/>
      <c r="G17" s="70"/>
    </row>
    <row r="18" spans="1:7" ht="15" thickBot="1">
      <c r="A18" s="24">
        <v>3</v>
      </c>
      <c r="B18" s="334" t="s">
        <v>290</v>
      </c>
      <c r="C18" s="334"/>
      <c r="D18" s="334"/>
      <c r="E18" s="334"/>
      <c r="F18" s="334"/>
      <c r="G18" s="25">
        <f>SUM(F19:F26)</f>
        <v>0</v>
      </c>
    </row>
    <row r="19" spans="1:7">
      <c r="A19" s="80"/>
      <c r="B19" s="81"/>
      <c r="C19" s="41"/>
      <c r="D19" s="42"/>
      <c r="E19" s="43"/>
      <c r="F19" s="43"/>
      <c r="G19" s="82"/>
    </row>
    <row r="20" spans="1:7" ht="69">
      <c r="A20" s="234" t="s">
        <v>24</v>
      </c>
      <c r="B20" s="104" t="s">
        <v>249</v>
      </c>
      <c r="C20" s="235" t="s">
        <v>71</v>
      </c>
      <c r="D20" s="236">
        <f>(2.97*(8.21))-(1.35*1+1.23*2.1+1.35*1)</f>
        <v>19.100700000000003</v>
      </c>
      <c r="E20" s="33"/>
      <c r="F20" s="237">
        <f>+D20*E20</f>
        <v>0</v>
      </c>
      <c r="G20" s="238"/>
    </row>
    <row r="21" spans="1:7" ht="69">
      <c r="A21" s="234" t="s">
        <v>25</v>
      </c>
      <c r="B21" s="104" t="s">
        <v>212</v>
      </c>
      <c r="C21" s="235" t="s">
        <v>71</v>
      </c>
      <c r="D21" s="236">
        <f>(2.97*(5.05+5.05+3.15+3.15))-(1.35*1+1.23*2.1+1.35*2.1+0.66*2.1+0.94*2.1+1.35*1)+(2.97*(4.46+4.46+3+3))-(1.35*1+1.34*2.1)+(2.97*(2.86+2.86+1.85+1.85))-(0.66*2.1+0.84*2.1+1.35*1)</f>
        <v>100.8558</v>
      </c>
      <c r="E21" s="33"/>
      <c r="F21" s="237">
        <f>+D21*E22</f>
        <v>0</v>
      </c>
      <c r="G21" s="238"/>
    </row>
    <row r="22" spans="1:7" ht="27.6">
      <c r="A22" s="234" t="s">
        <v>291</v>
      </c>
      <c r="B22" s="104" t="s">
        <v>213</v>
      </c>
      <c r="C22" s="235" t="s">
        <v>71</v>
      </c>
      <c r="D22" s="236">
        <f>(2.97*(8.21))-(1.35*1+1.23*2.1+1.35*1)</f>
        <v>19.100700000000003</v>
      </c>
      <c r="E22" s="33"/>
      <c r="F22" s="237">
        <f>+D22*E24</f>
        <v>0</v>
      </c>
      <c r="G22" s="238"/>
    </row>
    <row r="23" spans="1:7" ht="27.6">
      <c r="A23" s="234" t="s">
        <v>292</v>
      </c>
      <c r="B23" s="104" t="s">
        <v>214</v>
      </c>
      <c r="C23" s="235" t="s">
        <v>71</v>
      </c>
      <c r="D23" s="236">
        <f>(2.97*(5.05+5.05+3.15+3.15))-(1.35*1+1.23*2.1+1.35*2.1+0.66*2.1+0.94*2.1+1.35*1)+(2.97*(4.46+4.46+3+3))-(1.35*1+1.34*2.1)+(2.97*(2.86+2.86+1.85+1.85))-(0.66*2.1+0.84*2.1+1.35*1)</f>
        <v>100.8558</v>
      </c>
      <c r="E23" s="33"/>
      <c r="F23" s="237">
        <f>+D23*E23</f>
        <v>0</v>
      </c>
      <c r="G23" s="238"/>
    </row>
    <row r="24" spans="1:7" ht="55.2">
      <c r="A24" s="234" t="s">
        <v>293</v>
      </c>
      <c r="B24" s="104" t="s">
        <v>270</v>
      </c>
      <c r="C24" s="31" t="s">
        <v>71</v>
      </c>
      <c r="D24" s="32">
        <f>(16.42+8.18+13.38)</f>
        <v>37.980000000000004</v>
      </c>
      <c r="E24" s="33"/>
      <c r="F24" s="33">
        <f>D24*E24</f>
        <v>0</v>
      </c>
      <c r="G24" s="65"/>
    </row>
    <row r="25" spans="1:7" ht="27.6">
      <c r="A25" s="234" t="s">
        <v>294</v>
      </c>
      <c r="B25" s="76" t="s">
        <v>135</v>
      </c>
      <c r="C25" s="31" t="s">
        <v>71</v>
      </c>
      <c r="D25" s="32">
        <f>(16.76+12.95+2.59+23.43)</f>
        <v>55.73</v>
      </c>
      <c r="E25" s="33"/>
      <c r="F25" s="33">
        <f>D25*E25</f>
        <v>0</v>
      </c>
      <c r="G25" s="65"/>
    </row>
    <row r="26" spans="1:7" ht="15" thickBot="1">
      <c r="A26" s="77"/>
      <c r="B26" s="78"/>
      <c r="C26" s="53"/>
      <c r="D26" s="54"/>
      <c r="E26" s="55"/>
      <c r="F26" s="55"/>
      <c r="G26" s="79"/>
    </row>
    <row r="27" spans="1:7" ht="15" thickBot="1">
      <c r="A27" s="24">
        <v>4</v>
      </c>
      <c r="B27" s="334" t="s">
        <v>295</v>
      </c>
      <c r="C27" s="334"/>
      <c r="D27" s="334"/>
      <c r="E27" s="334"/>
      <c r="F27" s="334"/>
      <c r="G27" s="25">
        <f>SUM(F28:F38)</f>
        <v>0</v>
      </c>
    </row>
    <row r="28" spans="1:7">
      <c r="A28" s="80"/>
      <c r="B28" s="81"/>
      <c r="C28" s="83"/>
      <c r="D28" s="42"/>
      <c r="E28" s="43"/>
      <c r="F28" s="43"/>
      <c r="G28" s="82"/>
    </row>
    <row r="29" spans="1:7">
      <c r="A29" s="75" t="s">
        <v>26</v>
      </c>
      <c r="B29" s="239" t="s">
        <v>79</v>
      </c>
      <c r="C29" s="239"/>
      <c r="D29" s="239"/>
      <c r="E29" s="239"/>
      <c r="F29" s="239"/>
      <c r="G29" s="240"/>
    </row>
    <row r="30" spans="1:7" ht="69">
      <c r="A30" s="75" t="s">
        <v>296</v>
      </c>
      <c r="B30" s="76" t="s">
        <v>297</v>
      </c>
      <c r="C30" s="31" t="s">
        <v>71</v>
      </c>
      <c r="D30" s="32">
        <f>(2.97*(1.4+1.4+1.85+1.85))-(0.84*2.1)</f>
        <v>17.541</v>
      </c>
      <c r="E30" s="33"/>
      <c r="F30" s="33">
        <f>D30*E30</f>
        <v>0</v>
      </c>
      <c r="G30" s="65"/>
    </row>
    <row r="31" spans="1:7" ht="27.6">
      <c r="A31" s="75" t="s">
        <v>298</v>
      </c>
      <c r="B31" s="104" t="s">
        <v>214</v>
      </c>
      <c r="C31" s="235" t="s">
        <v>71</v>
      </c>
      <c r="D31" s="32">
        <f>(2.97*(1.4+1.4+1.85+1.85))-(0.84*2.1+0.8*2.1+0.8*2.1)</f>
        <v>14.180999999999999</v>
      </c>
      <c r="E31" s="33"/>
      <c r="F31" s="237">
        <f>D31*E31</f>
        <v>0</v>
      </c>
      <c r="G31" s="238"/>
    </row>
    <row r="32" spans="1:7" ht="55.2">
      <c r="A32" s="75" t="s">
        <v>299</v>
      </c>
      <c r="B32" s="76" t="s">
        <v>103</v>
      </c>
      <c r="C32" s="31" t="s">
        <v>71</v>
      </c>
      <c r="D32" s="32">
        <f>(2.1*(0.8+0.8))</f>
        <v>3.3600000000000003</v>
      </c>
      <c r="E32" s="33"/>
      <c r="F32" s="33">
        <f t="shared" ref="F32:F33" si="0">D32*E32</f>
        <v>0</v>
      </c>
      <c r="G32" s="65"/>
    </row>
    <row r="33" spans="1:7" ht="55.2">
      <c r="A33" s="75" t="s">
        <v>300</v>
      </c>
      <c r="B33" s="76" t="s">
        <v>105</v>
      </c>
      <c r="C33" s="31" t="s">
        <v>71</v>
      </c>
      <c r="D33" s="236">
        <f>2.5</f>
        <v>2.5</v>
      </c>
      <c r="E33" s="33"/>
      <c r="F33" s="33">
        <f t="shared" si="0"/>
        <v>0</v>
      </c>
      <c r="G33" s="65"/>
    </row>
    <row r="34" spans="1:7">
      <c r="A34" s="75" t="s">
        <v>129</v>
      </c>
      <c r="B34" s="239" t="s">
        <v>29</v>
      </c>
      <c r="C34" s="239"/>
      <c r="D34" s="239"/>
      <c r="E34" s="239"/>
      <c r="F34" s="239"/>
      <c r="G34" s="240"/>
    </row>
    <row r="35" spans="1:7" ht="69">
      <c r="A35" s="75" t="s">
        <v>301</v>
      </c>
      <c r="B35" s="76" t="s">
        <v>30</v>
      </c>
      <c r="C35" s="31" t="s">
        <v>76</v>
      </c>
      <c r="D35" s="32">
        <v>1</v>
      </c>
      <c r="E35" s="33"/>
      <c r="F35" s="33">
        <f>D35*E35</f>
        <v>0</v>
      </c>
      <c r="G35" s="65"/>
    </row>
    <row r="36" spans="1:7" ht="69">
      <c r="A36" s="75" t="s">
        <v>302</v>
      </c>
      <c r="B36" s="76" t="s">
        <v>31</v>
      </c>
      <c r="C36" s="31" t="s">
        <v>76</v>
      </c>
      <c r="D36" s="32">
        <v>1</v>
      </c>
      <c r="E36" s="33"/>
      <c r="F36" s="33">
        <f>D36*E36</f>
        <v>0</v>
      </c>
      <c r="G36" s="65"/>
    </row>
    <row r="37" spans="1:7" ht="69">
      <c r="A37" s="75" t="s">
        <v>303</v>
      </c>
      <c r="B37" s="76" t="s">
        <v>80</v>
      </c>
      <c r="C37" s="31" t="s">
        <v>76</v>
      </c>
      <c r="D37" s="32">
        <v>1</v>
      </c>
      <c r="E37" s="33"/>
      <c r="F37" s="33">
        <f>D37*E37</f>
        <v>0</v>
      </c>
      <c r="G37" s="65"/>
    </row>
    <row r="38" spans="1:7" ht="15" thickBot="1">
      <c r="A38" s="77"/>
      <c r="B38" s="78"/>
      <c r="C38" s="84"/>
      <c r="D38" s="54"/>
      <c r="E38" s="55"/>
      <c r="F38" s="55"/>
      <c r="G38" s="79"/>
    </row>
    <row r="39" spans="1:7" ht="15" thickBot="1">
      <c r="A39" s="24">
        <v>5</v>
      </c>
      <c r="B39" s="334" t="s">
        <v>304</v>
      </c>
      <c r="C39" s="334"/>
      <c r="D39" s="334"/>
      <c r="E39" s="334"/>
      <c r="F39" s="334"/>
      <c r="G39" s="25">
        <f>F41</f>
        <v>0</v>
      </c>
    </row>
    <row r="40" spans="1:7">
      <c r="A40" s="80"/>
      <c r="B40" s="81"/>
      <c r="C40" s="83"/>
      <c r="D40" s="42"/>
      <c r="E40" s="43"/>
      <c r="F40" s="43"/>
      <c r="G40" s="82"/>
    </row>
    <row r="41" spans="1:7" ht="55.2">
      <c r="A41" s="85" t="s">
        <v>27</v>
      </c>
      <c r="B41" s="86" t="s">
        <v>217</v>
      </c>
      <c r="C41" s="87" t="s">
        <v>28</v>
      </c>
      <c r="D41" s="88">
        <v>1</v>
      </c>
      <c r="E41" s="89"/>
      <c r="F41" s="89">
        <f>D41*E41</f>
        <v>0</v>
      </c>
      <c r="G41" s="90"/>
    </row>
    <row r="42" spans="1:7" ht="15" thickBot="1">
      <c r="A42" s="77"/>
      <c r="B42" s="78"/>
      <c r="C42" s="84"/>
      <c r="D42" s="54"/>
      <c r="E42" s="55"/>
      <c r="F42" s="55"/>
      <c r="G42" s="79"/>
    </row>
    <row r="43" spans="1:7" ht="15" thickBot="1">
      <c r="A43" s="24">
        <v>6</v>
      </c>
      <c r="B43" s="334" t="s">
        <v>305</v>
      </c>
      <c r="C43" s="334"/>
      <c r="D43" s="334"/>
      <c r="E43" s="334"/>
      <c r="F43" s="334"/>
      <c r="G43" s="25">
        <f>F45+F46</f>
        <v>0</v>
      </c>
    </row>
    <row r="44" spans="1:7">
      <c r="A44" s="80"/>
      <c r="B44" s="81"/>
      <c r="C44" s="41"/>
      <c r="D44" s="42"/>
      <c r="E44" s="43"/>
      <c r="F44" s="43"/>
      <c r="G44" s="82"/>
    </row>
    <row r="45" spans="1:7" ht="69">
      <c r="A45" s="75" t="s">
        <v>32</v>
      </c>
      <c r="B45" s="76" t="s">
        <v>255</v>
      </c>
      <c r="C45" s="87" t="s">
        <v>28</v>
      </c>
      <c r="D45" s="32">
        <v>1</v>
      </c>
      <c r="E45" s="33"/>
      <c r="F45" s="33">
        <f>D45*E45</f>
        <v>0</v>
      </c>
      <c r="G45" s="65"/>
    </row>
    <row r="46" spans="1:7" ht="55.2">
      <c r="A46" s="75" t="s">
        <v>251</v>
      </c>
      <c r="B46" s="76" t="s">
        <v>220</v>
      </c>
      <c r="C46" s="87" t="s">
        <v>28</v>
      </c>
      <c r="D46" s="32">
        <v>1</v>
      </c>
      <c r="E46" s="33"/>
      <c r="F46" s="33">
        <f>D46*E46</f>
        <v>0</v>
      </c>
      <c r="G46" s="65"/>
    </row>
    <row r="47" spans="1:7" ht="15" thickBot="1">
      <c r="A47" s="77"/>
      <c r="B47" s="91"/>
      <c r="C47" s="92"/>
      <c r="D47" s="93"/>
      <c r="E47" s="55"/>
      <c r="F47" s="55"/>
      <c r="G47" s="79"/>
    </row>
    <row r="48" spans="1:7" ht="15" thickBot="1">
      <c r="A48" s="24">
        <v>7</v>
      </c>
      <c r="B48" s="334" t="s">
        <v>306</v>
      </c>
      <c r="C48" s="334"/>
      <c r="D48" s="334"/>
      <c r="E48" s="334"/>
      <c r="F48" s="334"/>
      <c r="G48" s="25">
        <f>F50+F51+F52+F53</f>
        <v>0</v>
      </c>
    </row>
    <row r="49" spans="1:7">
      <c r="A49" s="80"/>
      <c r="B49" s="81"/>
      <c r="C49" s="41"/>
      <c r="D49" s="42"/>
      <c r="E49" s="43"/>
      <c r="F49" s="43"/>
      <c r="G49" s="82"/>
    </row>
    <row r="50" spans="1:7" ht="82.8">
      <c r="A50" s="75" t="s">
        <v>33</v>
      </c>
      <c r="B50" s="76" t="s">
        <v>256</v>
      </c>
      <c r="C50" s="31" t="s">
        <v>28</v>
      </c>
      <c r="D50" s="32">
        <v>1</v>
      </c>
      <c r="E50" s="33"/>
      <c r="F50" s="33">
        <f>D50*E50</f>
        <v>0</v>
      </c>
      <c r="G50" s="65"/>
    </row>
    <row r="51" spans="1:7" ht="69">
      <c r="A51" s="75" t="s">
        <v>70</v>
      </c>
      <c r="B51" s="76" t="s">
        <v>257</v>
      </c>
      <c r="C51" s="31" t="s">
        <v>28</v>
      </c>
      <c r="D51" s="32">
        <v>1</v>
      </c>
      <c r="E51" s="33"/>
      <c r="F51" s="33">
        <f>D51*E51</f>
        <v>0</v>
      </c>
      <c r="G51" s="65"/>
    </row>
    <row r="52" spans="1:7" ht="69">
      <c r="A52" s="75" t="s">
        <v>81</v>
      </c>
      <c r="B52" s="76" t="s">
        <v>221</v>
      </c>
      <c r="C52" s="31" t="s">
        <v>28</v>
      </c>
      <c r="D52" s="32">
        <v>1</v>
      </c>
      <c r="E52" s="33"/>
      <c r="F52" s="33">
        <f>D52*E52</f>
        <v>0</v>
      </c>
      <c r="G52" s="65"/>
    </row>
    <row r="53" spans="1:7" ht="55.2">
      <c r="A53" s="75" t="s">
        <v>82</v>
      </c>
      <c r="B53" s="104" t="s">
        <v>260</v>
      </c>
      <c r="C53" s="31" t="s">
        <v>28</v>
      </c>
      <c r="D53" s="32">
        <v>1</v>
      </c>
      <c r="E53" s="33"/>
      <c r="F53" s="33">
        <f>D53*E53</f>
        <v>0</v>
      </c>
      <c r="G53" s="65"/>
    </row>
    <row r="54" spans="1:7" ht="15" thickBot="1">
      <c r="A54" s="77"/>
      <c r="B54" s="91"/>
      <c r="C54" s="92"/>
      <c r="D54" s="93"/>
      <c r="E54" s="55"/>
      <c r="F54" s="55"/>
      <c r="G54" s="79"/>
    </row>
    <row r="55" spans="1:7" ht="15" thickBot="1">
      <c r="A55" s="24">
        <v>8</v>
      </c>
      <c r="B55" s="334" t="s">
        <v>307</v>
      </c>
      <c r="C55" s="334"/>
      <c r="D55" s="334"/>
      <c r="E55" s="334"/>
      <c r="F55" s="334"/>
      <c r="G55" s="25"/>
    </row>
    <row r="56" spans="1:7">
      <c r="A56" s="80"/>
      <c r="B56" s="81"/>
      <c r="C56" s="41"/>
      <c r="D56" s="42"/>
      <c r="E56" s="43"/>
      <c r="F56" s="43"/>
      <c r="G56" s="82"/>
    </row>
    <row r="57" spans="1:7" ht="69">
      <c r="A57" s="85" t="s">
        <v>36</v>
      </c>
      <c r="B57" s="96" t="s">
        <v>222</v>
      </c>
      <c r="C57" s="87" t="s">
        <v>28</v>
      </c>
      <c r="D57" s="88">
        <v>1</v>
      </c>
      <c r="E57" s="89">
        <v>18000</v>
      </c>
      <c r="F57" s="89">
        <f>D57*E57</f>
        <v>18000</v>
      </c>
      <c r="G57" s="90"/>
    </row>
    <row r="58" spans="1:7" ht="55.2">
      <c r="A58" s="85" t="s">
        <v>191</v>
      </c>
      <c r="B58" s="76" t="s">
        <v>103</v>
      </c>
      <c r="C58" s="31" t="s">
        <v>71</v>
      </c>
      <c r="D58" s="32">
        <f>(0.6*1.8)</f>
        <v>1.08</v>
      </c>
      <c r="E58" s="33"/>
      <c r="F58" s="33">
        <f t="shared" ref="F58" si="1">D58*E58</f>
        <v>0</v>
      </c>
      <c r="G58" s="65"/>
    </row>
    <row r="59" spans="1:7" ht="15" thickBot="1">
      <c r="A59" s="77"/>
      <c r="B59" s="78"/>
      <c r="C59" s="53"/>
      <c r="D59" s="54"/>
      <c r="E59" s="55"/>
      <c r="F59" s="55"/>
      <c r="G59" s="79"/>
    </row>
    <row r="60" spans="1:7" ht="15" thickBot="1">
      <c r="A60" s="241">
        <v>10</v>
      </c>
      <c r="B60" s="333" t="s">
        <v>279</v>
      </c>
      <c r="C60" s="333"/>
      <c r="D60" s="333"/>
      <c r="E60" s="333"/>
      <c r="F60" s="333"/>
      <c r="G60" s="242">
        <f>SUM(F61:F65)</f>
        <v>0</v>
      </c>
    </row>
    <row r="61" spans="1:7">
      <c r="A61" s="243"/>
      <c r="B61" s="244"/>
      <c r="C61" s="245"/>
      <c r="D61" s="246"/>
      <c r="E61" s="247"/>
      <c r="F61" s="247"/>
      <c r="G61" s="248"/>
    </row>
    <row r="62" spans="1:7" ht="69">
      <c r="A62" s="234" t="s">
        <v>44</v>
      </c>
      <c r="B62" s="76" t="s">
        <v>308</v>
      </c>
      <c r="C62" s="235" t="s">
        <v>77</v>
      </c>
      <c r="D62" s="236">
        <v>1</v>
      </c>
      <c r="E62" s="237"/>
      <c r="F62" s="237">
        <f t="shared" ref="F62:F64" si="2">+D62*E62</f>
        <v>0</v>
      </c>
      <c r="G62" s="238"/>
    </row>
    <row r="63" spans="1:7" ht="69">
      <c r="A63" s="234" t="s">
        <v>83</v>
      </c>
      <c r="B63" s="76" t="s">
        <v>309</v>
      </c>
      <c r="C63" s="235" t="s">
        <v>77</v>
      </c>
      <c r="D63" s="236">
        <v>1</v>
      </c>
      <c r="E63" s="237"/>
      <c r="F63" s="237">
        <f t="shared" si="2"/>
        <v>0</v>
      </c>
      <c r="G63" s="238"/>
    </row>
    <row r="64" spans="1:7" ht="69">
      <c r="A64" s="234" t="s">
        <v>122</v>
      </c>
      <c r="B64" s="76" t="s">
        <v>310</v>
      </c>
      <c r="C64" s="235" t="s">
        <v>77</v>
      </c>
      <c r="D64" s="236">
        <v>1</v>
      </c>
      <c r="E64" s="237"/>
      <c r="F64" s="237">
        <f t="shared" si="2"/>
        <v>0</v>
      </c>
      <c r="G64" s="238"/>
    </row>
    <row r="65" spans="1:7" ht="15" thickBot="1">
      <c r="A65" s="249"/>
      <c r="B65" s="250"/>
      <c r="C65" s="251"/>
      <c r="D65" s="252"/>
      <c r="E65" s="253"/>
      <c r="F65" s="253"/>
      <c r="G65" s="254"/>
    </row>
    <row r="66" spans="1:7" ht="15" thickBot="1">
      <c r="A66" s="241">
        <v>11</v>
      </c>
      <c r="B66" s="333" t="s">
        <v>60</v>
      </c>
      <c r="C66" s="333"/>
      <c r="D66" s="333"/>
      <c r="E66" s="333"/>
      <c r="F66" s="333"/>
      <c r="G66" s="242">
        <f>SUM(F67:F73)</f>
        <v>0</v>
      </c>
    </row>
    <row r="67" spans="1:7">
      <c r="A67" s="243"/>
      <c r="B67" s="244"/>
      <c r="C67" s="245"/>
      <c r="D67" s="246"/>
      <c r="E67" s="247"/>
      <c r="F67" s="247"/>
      <c r="G67" s="248"/>
    </row>
    <row r="68" spans="1:7" ht="41.4">
      <c r="A68" s="234" t="s">
        <v>45</v>
      </c>
      <c r="B68" s="104" t="s">
        <v>284</v>
      </c>
      <c r="C68" s="235" t="s">
        <v>77</v>
      </c>
      <c r="D68" s="236">
        <v>2</v>
      </c>
      <c r="E68" s="237"/>
      <c r="F68" s="237">
        <f>+D68*E68</f>
        <v>0</v>
      </c>
      <c r="G68" s="238"/>
    </row>
    <row r="69" spans="1:7" ht="41.4">
      <c r="A69" s="234" t="s">
        <v>61</v>
      </c>
      <c r="B69" s="104" t="s">
        <v>311</v>
      </c>
      <c r="C69" s="235" t="s">
        <v>77</v>
      </c>
      <c r="D69" s="236">
        <v>1</v>
      </c>
      <c r="E69" s="237"/>
      <c r="F69" s="237">
        <f>+D69*E69</f>
        <v>0</v>
      </c>
      <c r="G69" s="238"/>
    </row>
    <row r="70" spans="1:7" ht="41.4">
      <c r="A70" s="234" t="s">
        <v>117</v>
      </c>
      <c r="B70" s="104" t="s">
        <v>286</v>
      </c>
      <c r="C70" s="235" t="s">
        <v>77</v>
      </c>
      <c r="D70" s="236">
        <v>1</v>
      </c>
      <c r="E70" s="237"/>
      <c r="F70" s="237">
        <f>+D70*E70</f>
        <v>0</v>
      </c>
      <c r="G70" s="238"/>
    </row>
    <row r="71" spans="1:7" ht="41.4">
      <c r="A71" s="234" t="s">
        <v>119</v>
      </c>
      <c r="B71" s="104" t="s">
        <v>312</v>
      </c>
      <c r="C71" s="235" t="s">
        <v>77</v>
      </c>
      <c r="D71" s="236">
        <v>1</v>
      </c>
      <c r="E71" s="237"/>
      <c r="F71" s="237">
        <f>+D71*E71</f>
        <v>0</v>
      </c>
      <c r="G71" s="238"/>
    </row>
    <row r="72" spans="1:7" ht="41.4">
      <c r="A72" s="234" t="s">
        <v>228</v>
      </c>
      <c r="B72" s="104" t="s">
        <v>313</v>
      </c>
      <c r="C72" s="235" t="s">
        <v>77</v>
      </c>
      <c r="D72" s="236">
        <v>2</v>
      </c>
      <c r="E72" s="237"/>
      <c r="F72" s="237">
        <f>+D72*E72</f>
        <v>0</v>
      </c>
      <c r="G72" s="238"/>
    </row>
    <row r="73" spans="1:7" ht="15" customHeight="1" thickBot="1">
      <c r="A73" s="249"/>
      <c r="B73" s="250"/>
      <c r="C73" s="251"/>
      <c r="D73" s="252"/>
      <c r="E73" s="253"/>
      <c r="F73" s="253"/>
      <c r="G73" s="254"/>
    </row>
    <row r="74" spans="1:7" ht="15" thickBot="1">
      <c r="A74" s="24">
        <v>12</v>
      </c>
      <c r="B74" s="334" t="s">
        <v>171</v>
      </c>
      <c r="C74" s="334"/>
      <c r="D74" s="334"/>
      <c r="E74" s="334"/>
      <c r="F74" s="334"/>
      <c r="G74" s="25">
        <f>F76+F77</f>
        <v>0</v>
      </c>
    </row>
    <row r="75" spans="1:7">
      <c r="A75" s="80"/>
      <c r="B75" s="81"/>
      <c r="C75" s="41"/>
      <c r="D75" s="42"/>
      <c r="E75" s="43"/>
      <c r="F75" s="43"/>
      <c r="G75" s="82"/>
    </row>
    <row r="76" spans="1:7" ht="55.2">
      <c r="A76" s="75" t="s">
        <v>165</v>
      </c>
      <c r="B76" s="76" t="s">
        <v>265</v>
      </c>
      <c r="C76" s="31" t="s">
        <v>71</v>
      </c>
      <c r="D76" s="32">
        <f>1*8.21</f>
        <v>8.2100000000000009</v>
      </c>
      <c r="E76" s="33"/>
      <c r="F76" s="33">
        <f>D76*E76</f>
        <v>0</v>
      </c>
      <c r="G76" s="65"/>
    </row>
    <row r="77" spans="1:7" ht="55.2">
      <c r="A77" s="75" t="s">
        <v>167</v>
      </c>
      <c r="B77" s="76" t="s">
        <v>173</v>
      </c>
      <c r="C77" s="31" t="s">
        <v>77</v>
      </c>
      <c r="D77" s="32">
        <v>1</v>
      </c>
      <c r="E77" s="33"/>
      <c r="F77" s="33">
        <f>D77*E77</f>
        <v>0</v>
      </c>
      <c r="G77" s="65"/>
    </row>
    <row r="78" spans="1:7" ht="15" thickBot="1">
      <c r="A78" s="77"/>
      <c r="B78" s="78"/>
      <c r="C78" s="53"/>
      <c r="D78" s="54"/>
      <c r="E78" s="55"/>
      <c r="F78" s="55"/>
      <c r="G78" s="79"/>
    </row>
    <row r="79" spans="1:7" ht="15" thickBot="1">
      <c r="A79" s="94"/>
      <c r="B79" s="340"/>
      <c r="C79" s="340"/>
      <c r="D79" s="340"/>
      <c r="E79" s="340"/>
      <c r="F79" s="340"/>
      <c r="G79" s="340">
        <f>SUM(G8:G78)</f>
        <v>0</v>
      </c>
    </row>
    <row r="80" spans="1:7" ht="15" thickBot="1">
      <c r="A80" s="94"/>
      <c r="B80" s="342" t="s">
        <v>34</v>
      </c>
      <c r="C80" s="342"/>
      <c r="D80" s="342"/>
      <c r="E80" s="342"/>
      <c r="F80" s="342"/>
      <c r="G80" s="336"/>
    </row>
  </sheetData>
  <mergeCells count="25">
    <mergeCell ref="B74:F74"/>
    <mergeCell ref="B79:F79"/>
    <mergeCell ref="G79:G80"/>
    <mergeCell ref="B80:F80"/>
    <mergeCell ref="B1:E1"/>
    <mergeCell ref="F2:G2"/>
    <mergeCell ref="B3:E3"/>
    <mergeCell ref="F3:G3"/>
    <mergeCell ref="F5:G5"/>
    <mergeCell ref="B39:F39"/>
    <mergeCell ref="B43:F43"/>
    <mergeCell ref="B48:F48"/>
    <mergeCell ref="B66:F66"/>
    <mergeCell ref="A7:G7"/>
    <mergeCell ref="B8:F8"/>
    <mergeCell ref="B12:F12"/>
    <mergeCell ref="B18:F18"/>
    <mergeCell ref="B27:F27"/>
    <mergeCell ref="B55:F55"/>
    <mergeCell ref="B60:F60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85" zoomScaleNormal="85" zoomScaleSheetLayoutView="85" workbookViewId="0">
      <selection activeCell="B18" sqref="B18"/>
    </sheetView>
  </sheetViews>
  <sheetFormatPr defaultRowHeight="14.4"/>
  <cols>
    <col min="1" max="1" width="7.109375" bestFit="1" customWidth="1"/>
    <col min="2" max="2" width="108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7">
      <c r="A1" s="255" t="s">
        <v>1</v>
      </c>
      <c r="B1" s="280" t="s">
        <v>46</v>
      </c>
      <c r="C1" s="280"/>
      <c r="D1" s="280"/>
      <c r="E1" s="280"/>
      <c r="F1" s="256"/>
      <c r="G1" s="255"/>
    </row>
    <row r="2" spans="1:7">
      <c r="A2" s="255" t="s">
        <v>2</v>
      </c>
      <c r="B2" s="257"/>
      <c r="C2" s="255"/>
      <c r="D2" s="255"/>
      <c r="E2" s="258"/>
      <c r="F2" s="281"/>
      <c r="G2" s="281"/>
    </row>
    <row r="3" spans="1:7">
      <c r="A3" s="255"/>
      <c r="B3" s="280"/>
      <c r="C3" s="280"/>
      <c r="D3" s="280"/>
      <c r="E3" s="280"/>
      <c r="F3" s="281" t="s">
        <v>115</v>
      </c>
      <c r="G3" s="281"/>
    </row>
    <row r="4" spans="1:7" ht="15" thickBot="1">
      <c r="A4" s="255"/>
      <c r="B4" s="257"/>
      <c r="C4" s="255"/>
      <c r="D4" s="255"/>
      <c r="E4" s="259"/>
      <c r="F4" s="259"/>
      <c r="G4" s="255"/>
    </row>
    <row r="5" spans="1:7" ht="15" thickBot="1">
      <c r="A5" s="282" t="s">
        <v>4</v>
      </c>
      <c r="B5" s="282" t="s">
        <v>5</v>
      </c>
      <c r="C5" s="282" t="s">
        <v>6</v>
      </c>
      <c r="D5" s="283" t="s">
        <v>7</v>
      </c>
      <c r="E5" s="284" t="s">
        <v>8</v>
      </c>
      <c r="F5" s="282" t="s">
        <v>9</v>
      </c>
      <c r="G5" s="282"/>
    </row>
    <row r="6" spans="1:7" ht="15" thickBot="1">
      <c r="A6" s="282"/>
      <c r="B6" s="282" t="s">
        <v>10</v>
      </c>
      <c r="C6" s="282" t="s">
        <v>11</v>
      </c>
      <c r="D6" s="283" t="s">
        <v>12</v>
      </c>
      <c r="E6" s="284"/>
      <c r="F6" s="260" t="s">
        <v>13</v>
      </c>
      <c r="G6" s="261" t="s">
        <v>14</v>
      </c>
    </row>
    <row r="7" spans="1:7" ht="15" thickBot="1">
      <c r="A7" s="282"/>
      <c r="B7" s="282"/>
      <c r="C7" s="282"/>
      <c r="D7" s="282"/>
      <c r="E7" s="282"/>
      <c r="F7" s="282"/>
      <c r="G7" s="282"/>
    </row>
    <row r="8" spans="1:7" ht="15" thickBot="1">
      <c r="A8" s="262">
        <v>0</v>
      </c>
      <c r="B8" s="285" t="s">
        <v>314</v>
      </c>
      <c r="C8" s="285"/>
      <c r="D8" s="285"/>
      <c r="E8" s="285"/>
      <c r="F8" s="285"/>
      <c r="G8" s="263">
        <f>SUM(F10:F10)</f>
        <v>0</v>
      </c>
    </row>
    <row r="9" spans="1:7">
      <c r="A9" s="264"/>
      <c r="B9" s="265"/>
      <c r="C9" s="257"/>
      <c r="D9" s="257"/>
      <c r="E9" s="256"/>
      <c r="F9" s="256"/>
      <c r="G9" s="266"/>
    </row>
    <row r="10" spans="1:7" ht="82.2" customHeight="1">
      <c r="A10" s="267"/>
      <c r="B10" s="30" t="s">
        <v>315</v>
      </c>
      <c r="C10" s="268" t="s">
        <v>77</v>
      </c>
      <c r="D10" s="269">
        <v>1</v>
      </c>
      <c r="E10" s="270"/>
      <c r="F10" s="270">
        <f t="shared" ref="F10" si="0">D10*E10</f>
        <v>0</v>
      </c>
      <c r="G10" s="271"/>
    </row>
    <row r="11" spans="1:7" ht="15" thickBot="1">
      <c r="A11" s="272"/>
      <c r="B11" s="273"/>
      <c r="C11" s="273"/>
      <c r="D11" s="273"/>
      <c r="E11" s="274"/>
      <c r="F11" s="274"/>
      <c r="G11" s="275"/>
    </row>
    <row r="12" spans="1:7" ht="15" thickBot="1">
      <c r="A12" s="276"/>
      <c r="B12" s="283"/>
      <c r="C12" s="283"/>
      <c r="D12" s="283"/>
      <c r="E12" s="283"/>
      <c r="F12" s="283"/>
      <c r="G12" s="283">
        <f>G8</f>
        <v>0</v>
      </c>
    </row>
    <row r="13" spans="1:7" ht="15" thickBot="1">
      <c r="A13" s="276"/>
      <c r="B13" s="286" t="s">
        <v>34</v>
      </c>
      <c r="C13" s="286"/>
      <c r="D13" s="286"/>
      <c r="E13" s="286"/>
      <c r="F13" s="286"/>
      <c r="G13" s="282"/>
    </row>
    <row r="16" spans="1:7" ht="15" customHeight="1"/>
  </sheetData>
  <mergeCells count="15">
    <mergeCell ref="A7:G7"/>
    <mergeCell ref="B8:F8"/>
    <mergeCell ref="B12:F12"/>
    <mergeCell ref="G12:G13"/>
    <mergeCell ref="B13:F13"/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view="pageBreakPreview" zoomScale="106" zoomScaleNormal="100" zoomScaleSheetLayoutView="106" workbookViewId="0">
      <selection activeCell="E63" sqref="E63"/>
    </sheetView>
  </sheetViews>
  <sheetFormatPr defaultRowHeight="14.4"/>
  <cols>
    <col min="1" max="1" width="8.6640625" style="176" customWidth="1"/>
    <col min="2" max="2" width="39.5546875" style="177" customWidth="1"/>
    <col min="3" max="3" width="4.5546875" style="177" customWidth="1"/>
    <col min="4" max="4" width="6.5546875" style="177" customWidth="1"/>
    <col min="5" max="5" width="11.88671875" style="178" customWidth="1"/>
    <col min="6" max="6" width="12.5546875" style="178" customWidth="1"/>
    <col min="7" max="7" width="15.6640625" style="177" customWidth="1"/>
  </cols>
  <sheetData>
    <row r="1" spans="1:7" ht="8.1" customHeight="1"/>
    <row r="2" spans="1:7">
      <c r="A2" s="179" t="s">
        <v>0</v>
      </c>
      <c r="B2" s="179"/>
      <c r="C2" s="179"/>
      <c r="D2" s="179"/>
      <c r="E2" s="180"/>
      <c r="F2" s="181"/>
      <c r="G2" s="179"/>
    </row>
    <row r="3" spans="1:7">
      <c r="A3" s="182" t="s">
        <v>1</v>
      </c>
      <c r="B3" s="179" t="s">
        <v>46</v>
      </c>
      <c r="C3" s="182"/>
      <c r="E3" s="183"/>
      <c r="F3" s="183"/>
      <c r="G3" s="182"/>
    </row>
    <row r="4" spans="1:7">
      <c r="A4" s="182" t="s">
        <v>2</v>
      </c>
      <c r="B4" s="179"/>
      <c r="C4" s="182"/>
      <c r="D4" s="182"/>
      <c r="E4" s="180"/>
      <c r="F4" s="298"/>
      <c r="G4" s="298"/>
    </row>
    <row r="5" spans="1:7">
      <c r="A5" s="182" t="s">
        <v>3</v>
      </c>
      <c r="B5" s="179" t="s">
        <v>137</v>
      </c>
      <c r="C5" s="182"/>
      <c r="D5" s="182"/>
      <c r="E5" s="180"/>
      <c r="F5" s="298" t="s">
        <v>115</v>
      </c>
      <c r="G5" s="298"/>
    </row>
    <row r="6" spans="1:7" ht="15" thickBot="1">
      <c r="A6" s="182"/>
      <c r="B6" s="179"/>
      <c r="C6" s="182"/>
      <c r="D6" s="182"/>
      <c r="E6" s="184"/>
      <c r="F6" s="184"/>
      <c r="G6" s="182"/>
    </row>
    <row r="7" spans="1:7" ht="15" thickBot="1">
      <c r="A7" s="299" t="s">
        <v>4</v>
      </c>
      <c r="B7" s="299" t="s">
        <v>5</v>
      </c>
      <c r="C7" s="299" t="s">
        <v>6</v>
      </c>
      <c r="D7" s="301" t="s">
        <v>7</v>
      </c>
      <c r="E7" s="303" t="s">
        <v>8</v>
      </c>
      <c r="F7" s="305" t="s">
        <v>9</v>
      </c>
      <c r="G7" s="306"/>
    </row>
    <row r="8" spans="1:7" ht="15" thickBot="1">
      <c r="A8" s="300"/>
      <c r="B8" s="300" t="s">
        <v>10</v>
      </c>
      <c r="C8" s="300" t="s">
        <v>11</v>
      </c>
      <c r="D8" s="302" t="s">
        <v>12</v>
      </c>
      <c r="E8" s="304"/>
      <c r="F8" s="185" t="s">
        <v>13</v>
      </c>
      <c r="G8" s="186" t="s">
        <v>14</v>
      </c>
    </row>
    <row r="9" spans="1:7" ht="12" customHeight="1">
      <c r="A9" s="307"/>
      <c r="B9" s="308"/>
      <c r="C9" s="308"/>
      <c r="D9" s="308"/>
      <c r="E9" s="308"/>
      <c r="F9" s="308"/>
      <c r="G9" s="309"/>
    </row>
    <row r="10" spans="1:7">
      <c r="A10" s="15">
        <v>1</v>
      </c>
      <c r="B10" s="295" t="s">
        <v>15</v>
      </c>
      <c r="C10" s="296"/>
      <c r="D10" s="296"/>
      <c r="E10" s="296"/>
      <c r="F10" s="297"/>
      <c r="G10" s="2">
        <f>+SUM(F12:F12)</f>
        <v>0</v>
      </c>
    </row>
    <row r="11" spans="1:7" ht="6.9" customHeight="1">
      <c r="A11" s="187"/>
      <c r="B11" s="188"/>
      <c r="C11" s="188"/>
      <c r="D11" s="188"/>
      <c r="E11" s="189"/>
      <c r="F11" s="189"/>
      <c r="G11" s="190"/>
    </row>
    <row r="12" spans="1:7" ht="55.2">
      <c r="A12" s="191" t="s">
        <v>16</v>
      </c>
      <c r="B12" s="192" t="s">
        <v>138</v>
      </c>
      <c r="C12" s="10" t="s">
        <v>139</v>
      </c>
      <c r="D12" s="13">
        <v>15</v>
      </c>
      <c r="E12" s="193"/>
      <c r="F12" s="193">
        <f>D12*E12</f>
        <v>0</v>
      </c>
      <c r="G12" s="194"/>
    </row>
    <row r="13" spans="1:7">
      <c r="A13" s="191"/>
      <c r="B13" s="192"/>
      <c r="C13" s="10"/>
      <c r="D13" s="13"/>
      <c r="E13" s="193"/>
      <c r="F13" s="193"/>
      <c r="G13" s="194"/>
    </row>
    <row r="14" spans="1:7">
      <c r="A14" s="15">
        <v>2</v>
      </c>
      <c r="B14" s="295" t="s">
        <v>38</v>
      </c>
      <c r="C14" s="296"/>
      <c r="D14" s="296"/>
      <c r="E14" s="296"/>
      <c r="F14" s="297"/>
      <c r="G14" s="2">
        <f>+SUM(F16)</f>
        <v>0</v>
      </c>
    </row>
    <row r="15" spans="1:7">
      <c r="A15" s="191"/>
      <c r="B15" s="192"/>
      <c r="C15" s="10"/>
      <c r="D15" s="13"/>
      <c r="E15" s="193"/>
      <c r="F15" s="193"/>
      <c r="G15" s="194"/>
    </row>
    <row r="16" spans="1:7" ht="55.2">
      <c r="A16" s="191" t="s">
        <v>18</v>
      </c>
      <c r="B16" s="192" t="s">
        <v>140</v>
      </c>
      <c r="C16" s="10" t="s">
        <v>141</v>
      </c>
      <c r="D16" s="13">
        <f>0.8*0.8*0.7*2</f>
        <v>0.89600000000000013</v>
      </c>
      <c r="E16" s="193"/>
      <c r="F16" s="193">
        <f t="shared" ref="F16" si="0">D16*E16</f>
        <v>0</v>
      </c>
      <c r="G16" s="194"/>
    </row>
    <row r="17" spans="1:7" ht="6.9" customHeight="1">
      <c r="A17" s="195"/>
      <c r="B17" s="196"/>
      <c r="C17" s="196"/>
      <c r="D17" s="196"/>
      <c r="E17" s="197"/>
      <c r="F17" s="193"/>
      <c r="G17" s="198"/>
    </row>
    <row r="18" spans="1:7">
      <c r="A18" s="15">
        <v>3</v>
      </c>
      <c r="B18" s="295" t="s">
        <v>39</v>
      </c>
      <c r="C18" s="296"/>
      <c r="D18" s="296"/>
      <c r="E18" s="296"/>
      <c r="F18" s="297"/>
      <c r="G18" s="2">
        <f>SUM(F20:F25)</f>
        <v>0</v>
      </c>
    </row>
    <row r="19" spans="1:7">
      <c r="A19" s="187"/>
      <c r="B19" s="188"/>
      <c r="C19" s="188"/>
      <c r="D19" s="188"/>
      <c r="E19" s="189"/>
      <c r="F19" s="189"/>
      <c r="G19" s="190"/>
    </row>
    <row r="20" spans="1:7" ht="55.2">
      <c r="A20" s="191" t="s">
        <v>24</v>
      </c>
      <c r="B20" s="199" t="s">
        <v>142</v>
      </c>
      <c r="C20" s="10" t="s">
        <v>139</v>
      </c>
      <c r="D20" s="13">
        <f>0.8*0.8*0.1*2</f>
        <v>0.12800000000000003</v>
      </c>
      <c r="E20" s="189"/>
      <c r="F20" s="193">
        <f t="shared" ref="F20:F25" si="1">D20*E20</f>
        <v>0</v>
      </c>
      <c r="G20" s="190"/>
    </row>
    <row r="21" spans="1:7" ht="96.6">
      <c r="A21" s="191" t="s">
        <v>25</v>
      </c>
      <c r="B21" s="199" t="s">
        <v>19</v>
      </c>
      <c r="C21" s="200"/>
      <c r="D21" s="13"/>
      <c r="E21" s="193"/>
      <c r="F21" s="193"/>
      <c r="G21" s="201"/>
    </row>
    <row r="22" spans="1:7" ht="16.8">
      <c r="A22" s="191" t="s">
        <v>40</v>
      </c>
      <c r="B22" s="199" t="s">
        <v>20</v>
      </c>
      <c r="C22" s="10" t="s">
        <v>141</v>
      </c>
      <c r="D22" s="13">
        <f>0.5*0.5*0.4*2</f>
        <v>0.2</v>
      </c>
      <c r="E22" s="193"/>
      <c r="F22" s="193">
        <f t="shared" si="1"/>
        <v>0</v>
      </c>
      <c r="G22" s="201"/>
    </row>
    <row r="23" spans="1:7" ht="16.8">
      <c r="A23" s="191" t="s">
        <v>41</v>
      </c>
      <c r="B23" s="199" t="s">
        <v>21</v>
      </c>
      <c r="C23" s="10" t="s">
        <v>141</v>
      </c>
      <c r="D23" s="13">
        <f>0.2*0.2*2.7*2</f>
        <v>0.21600000000000005</v>
      </c>
      <c r="E23" s="193"/>
      <c r="F23" s="193">
        <f t="shared" si="1"/>
        <v>0</v>
      </c>
      <c r="G23" s="201"/>
    </row>
    <row r="24" spans="1:7" ht="16.8">
      <c r="A24" s="191" t="s">
        <v>42</v>
      </c>
      <c r="B24" s="199" t="s">
        <v>22</v>
      </c>
      <c r="C24" s="10" t="s">
        <v>141</v>
      </c>
      <c r="D24" s="193">
        <f>0.2*0.4*5.57*3+0.2*0.4*4.8+0.2*0.4*2.05</f>
        <v>1.8848000000000003</v>
      </c>
      <c r="E24" s="193"/>
      <c r="F24" s="193">
        <f t="shared" si="1"/>
        <v>0</v>
      </c>
      <c r="G24" s="201"/>
    </row>
    <row r="25" spans="1:7" ht="16.8">
      <c r="A25" s="191" t="s">
        <v>43</v>
      </c>
      <c r="B25" s="199" t="s">
        <v>23</v>
      </c>
      <c r="C25" s="10" t="s">
        <v>141</v>
      </c>
      <c r="D25" s="13">
        <f>18.71*0.15</f>
        <v>2.8065000000000002</v>
      </c>
      <c r="E25" s="193"/>
      <c r="F25" s="193">
        <f t="shared" si="1"/>
        <v>0</v>
      </c>
      <c r="G25" s="201"/>
    </row>
    <row r="26" spans="1:7" ht="6.9" customHeight="1">
      <c r="A26" s="195"/>
      <c r="B26" s="202"/>
      <c r="C26" s="202"/>
      <c r="D26" s="202"/>
      <c r="E26" s="203"/>
      <c r="F26" s="203"/>
      <c r="G26" s="204"/>
    </row>
    <row r="27" spans="1:7">
      <c r="A27" s="15">
        <v>4</v>
      </c>
      <c r="B27" s="295" t="s">
        <v>49</v>
      </c>
      <c r="C27" s="296"/>
      <c r="D27" s="296"/>
      <c r="E27" s="296"/>
      <c r="F27" s="297"/>
      <c r="G27" s="2">
        <f>+SUM(F29:F30)</f>
        <v>0</v>
      </c>
    </row>
    <row r="28" spans="1:7" ht="6.9" customHeight="1">
      <c r="A28" s="187"/>
      <c r="B28" s="188"/>
      <c r="C28" s="188"/>
      <c r="D28" s="188"/>
      <c r="E28" s="189"/>
      <c r="F28" s="189"/>
      <c r="G28" s="190"/>
    </row>
    <row r="29" spans="1:7" ht="69">
      <c r="A29" s="205" t="s">
        <v>26</v>
      </c>
      <c r="B29" s="9" t="s">
        <v>143</v>
      </c>
      <c r="C29" s="10" t="s">
        <v>139</v>
      </c>
      <c r="D29" s="13">
        <f>+(5.57+2.05+2.05)*2.7-(0.4*0.5+2.1*0.8)</f>
        <v>24.229000000000003</v>
      </c>
      <c r="E29" s="193"/>
      <c r="F29" s="193">
        <f t="shared" ref="F29:F30" si="2">D29*E29</f>
        <v>0</v>
      </c>
      <c r="G29" s="201"/>
    </row>
    <row r="30" spans="1:7" ht="85.2">
      <c r="A30" s="205" t="s">
        <v>129</v>
      </c>
      <c r="B30" s="9" t="s">
        <v>144</v>
      </c>
      <c r="C30" s="10" t="s">
        <v>139</v>
      </c>
      <c r="D30" s="13">
        <v>3</v>
      </c>
      <c r="E30" s="193"/>
      <c r="F30" s="193">
        <f t="shared" si="2"/>
        <v>0</v>
      </c>
      <c r="G30" s="201"/>
    </row>
    <row r="31" spans="1:7">
      <c r="A31" s="206"/>
      <c r="B31" s="207"/>
      <c r="C31" s="208"/>
      <c r="D31" s="209"/>
      <c r="E31" s="210"/>
      <c r="F31" s="211"/>
      <c r="G31" s="212"/>
    </row>
    <row r="32" spans="1:7">
      <c r="A32" s="15">
        <v>5</v>
      </c>
      <c r="B32" s="295" t="s">
        <v>50</v>
      </c>
      <c r="C32" s="296"/>
      <c r="D32" s="296"/>
      <c r="E32" s="296"/>
      <c r="F32" s="297"/>
      <c r="G32" s="2">
        <f>SUM(F34:F37)</f>
        <v>0</v>
      </c>
    </row>
    <row r="33" spans="1:7">
      <c r="A33" s="205"/>
      <c r="B33" s="9"/>
      <c r="C33" s="10"/>
      <c r="D33" s="13"/>
      <c r="E33" s="193"/>
      <c r="F33" s="193"/>
      <c r="G33" s="201"/>
    </row>
    <row r="34" spans="1:7" ht="82.8">
      <c r="A34" s="205" t="s">
        <v>27</v>
      </c>
      <c r="B34" s="9" t="s">
        <v>35</v>
      </c>
      <c r="C34" s="10" t="s">
        <v>139</v>
      </c>
      <c r="D34" s="13">
        <f>+(4.8*2+5.57*2+2.05*2)*2.7</f>
        <v>67.068000000000012</v>
      </c>
      <c r="E34" s="193"/>
      <c r="F34" s="193">
        <f>+D34*E34</f>
        <v>0</v>
      </c>
      <c r="G34" s="201"/>
    </row>
    <row r="35" spans="1:7" ht="27.6">
      <c r="A35" s="205" t="s">
        <v>51</v>
      </c>
      <c r="B35" s="9" t="s">
        <v>133</v>
      </c>
      <c r="C35" s="10" t="s">
        <v>139</v>
      </c>
      <c r="D35" s="13">
        <f>+(5.47+2.75*2+2.21*2+2.73*2+0.66*2+5.65*2+6*2)*2.7+D34</f>
        <v>189.83700000000002</v>
      </c>
      <c r="E35" s="193"/>
      <c r="F35" s="193">
        <f>+D35*E35</f>
        <v>0</v>
      </c>
      <c r="G35" s="201"/>
    </row>
    <row r="36" spans="1:7" ht="27.6">
      <c r="A36" s="205" t="s">
        <v>134</v>
      </c>
      <c r="B36" s="207" t="s">
        <v>135</v>
      </c>
      <c r="C36" s="10" t="s">
        <v>139</v>
      </c>
      <c r="D36" s="13">
        <v>18.71</v>
      </c>
      <c r="E36" s="193"/>
      <c r="F36" s="193">
        <f>+D36*E36</f>
        <v>0</v>
      </c>
      <c r="G36" s="201"/>
    </row>
    <row r="37" spans="1:7" ht="55.2">
      <c r="A37" s="205" t="s">
        <v>145</v>
      </c>
      <c r="B37" s="9" t="s">
        <v>146</v>
      </c>
      <c r="C37" s="10" t="s">
        <v>139</v>
      </c>
      <c r="D37" s="13">
        <v>11.5</v>
      </c>
      <c r="E37" s="193"/>
      <c r="F37" s="193">
        <f>+D37*E37</f>
        <v>0</v>
      </c>
      <c r="G37" s="201"/>
    </row>
    <row r="38" spans="1:7">
      <c r="A38" s="205"/>
      <c r="B38" s="9"/>
      <c r="C38" s="10"/>
      <c r="D38" s="13"/>
      <c r="E38" s="193"/>
      <c r="F38" s="193"/>
      <c r="G38" s="201"/>
    </row>
    <row r="39" spans="1:7">
      <c r="A39" s="15">
        <v>6</v>
      </c>
      <c r="B39" s="295" t="s">
        <v>147</v>
      </c>
      <c r="C39" s="296"/>
      <c r="D39" s="296"/>
      <c r="E39" s="296"/>
      <c r="F39" s="297"/>
      <c r="G39" s="2">
        <f>+SUM(F42:F46)</f>
        <v>0</v>
      </c>
    </row>
    <row r="40" spans="1:7" ht="6.9" customHeight="1">
      <c r="A40" s="205"/>
      <c r="B40" s="9"/>
      <c r="C40" s="213"/>
      <c r="D40" s="13"/>
      <c r="E40" s="193"/>
      <c r="F40" s="193"/>
      <c r="G40" s="201"/>
    </row>
    <row r="41" spans="1:7">
      <c r="A41" s="205" t="s">
        <v>32</v>
      </c>
      <c r="B41" s="214" t="s">
        <v>29</v>
      </c>
      <c r="C41" s="213"/>
      <c r="D41" s="13"/>
      <c r="E41" s="193"/>
      <c r="F41" s="193"/>
      <c r="G41" s="201"/>
    </row>
    <row r="42" spans="1:7" ht="69">
      <c r="A42" s="205" t="s">
        <v>148</v>
      </c>
      <c r="B42" s="9" t="s">
        <v>30</v>
      </c>
      <c r="C42" s="10" t="s">
        <v>149</v>
      </c>
      <c r="D42" s="13">
        <v>1</v>
      </c>
      <c r="E42" s="193"/>
      <c r="F42" s="193">
        <f>+D42*E42</f>
        <v>0</v>
      </c>
      <c r="G42" s="201"/>
    </row>
    <row r="43" spans="1:7" ht="69">
      <c r="A43" s="205" t="s">
        <v>150</v>
      </c>
      <c r="B43" s="9" t="s">
        <v>31</v>
      </c>
      <c r="C43" s="10" t="s">
        <v>149</v>
      </c>
      <c r="D43" s="13">
        <v>1</v>
      </c>
      <c r="E43" s="193"/>
      <c r="F43" s="193">
        <f t="shared" ref="F43:F46" si="3">+D43*E43</f>
        <v>0</v>
      </c>
      <c r="G43" s="201"/>
    </row>
    <row r="44" spans="1:7" ht="69">
      <c r="A44" s="205" t="s">
        <v>151</v>
      </c>
      <c r="B44" s="9" t="s">
        <v>152</v>
      </c>
      <c r="C44" s="10" t="s">
        <v>149</v>
      </c>
      <c r="D44" s="13">
        <v>1</v>
      </c>
      <c r="E44" s="193"/>
      <c r="F44" s="193">
        <f t="shared" si="3"/>
        <v>0</v>
      </c>
      <c r="G44" s="201"/>
    </row>
    <row r="45" spans="1:7" ht="55.2">
      <c r="A45" s="205" t="s">
        <v>153</v>
      </c>
      <c r="B45" s="215" t="s">
        <v>105</v>
      </c>
      <c r="C45" s="10" t="s">
        <v>139</v>
      </c>
      <c r="D45" s="209">
        <v>3.47</v>
      </c>
      <c r="E45" s="210"/>
      <c r="F45" s="193">
        <f t="shared" si="3"/>
        <v>0</v>
      </c>
      <c r="G45" s="212"/>
    </row>
    <row r="46" spans="1:7" ht="55.2">
      <c r="A46" s="205" t="s">
        <v>154</v>
      </c>
      <c r="B46" s="215" t="s">
        <v>103</v>
      </c>
      <c r="C46" s="10" t="s">
        <v>139</v>
      </c>
      <c r="D46" s="209">
        <f>0.8*2.1*2</f>
        <v>3.3600000000000003</v>
      </c>
      <c r="E46" s="210"/>
      <c r="F46" s="193">
        <f t="shared" si="3"/>
        <v>0</v>
      </c>
      <c r="G46" s="212"/>
    </row>
    <row r="47" spans="1:7">
      <c r="A47" s="206"/>
      <c r="B47" s="207"/>
      <c r="C47" s="208"/>
      <c r="D47" s="209"/>
      <c r="E47" s="210"/>
      <c r="F47" s="211"/>
      <c r="G47" s="212"/>
    </row>
    <row r="48" spans="1:7">
      <c r="A48" s="15">
        <v>7</v>
      </c>
      <c r="B48" s="295" t="s">
        <v>155</v>
      </c>
      <c r="C48" s="296"/>
      <c r="D48" s="296"/>
      <c r="E48" s="296"/>
      <c r="F48" s="297"/>
      <c r="G48" s="2">
        <f>+SUM(F50)</f>
        <v>0</v>
      </c>
    </row>
    <row r="49" spans="1:7" ht="6.9" customHeight="1">
      <c r="A49" s="205"/>
      <c r="B49" s="9"/>
      <c r="C49" s="213"/>
      <c r="D49" s="13"/>
      <c r="E49" s="193"/>
      <c r="F49" s="193"/>
      <c r="G49" s="201"/>
    </row>
    <row r="50" spans="1:7" ht="55.2">
      <c r="A50" s="205" t="s">
        <v>33</v>
      </c>
      <c r="B50" s="9" t="s">
        <v>156</v>
      </c>
      <c r="C50" s="10" t="s">
        <v>28</v>
      </c>
      <c r="D50" s="13">
        <v>1</v>
      </c>
      <c r="E50" s="193"/>
      <c r="F50" s="193">
        <f t="shared" ref="F50" si="4">D50*E50</f>
        <v>0</v>
      </c>
      <c r="G50" s="201"/>
    </row>
    <row r="51" spans="1:7">
      <c r="A51" s="205"/>
      <c r="B51" s="9"/>
      <c r="C51" s="10"/>
      <c r="D51" s="13"/>
      <c r="E51" s="193"/>
      <c r="F51" s="193"/>
      <c r="G51" s="201"/>
    </row>
    <row r="52" spans="1:7">
      <c r="A52" s="15">
        <v>8</v>
      </c>
      <c r="B52" s="295" t="s">
        <v>157</v>
      </c>
      <c r="C52" s="296"/>
      <c r="D52" s="296"/>
      <c r="E52" s="296"/>
      <c r="F52" s="297"/>
      <c r="G52" s="2">
        <f>SUM(F54:F54)</f>
        <v>0</v>
      </c>
    </row>
    <row r="53" spans="1:7">
      <c r="A53" s="206"/>
      <c r="B53" s="207"/>
      <c r="C53" s="216"/>
      <c r="D53" s="209"/>
      <c r="E53" s="210"/>
      <c r="F53" s="211"/>
      <c r="G53" s="212"/>
    </row>
    <row r="54" spans="1:7" ht="55.2">
      <c r="A54" s="206" t="s">
        <v>36</v>
      </c>
      <c r="B54" s="207" t="s">
        <v>158</v>
      </c>
      <c r="C54" s="216" t="s">
        <v>28</v>
      </c>
      <c r="D54" s="209">
        <v>1</v>
      </c>
      <c r="E54" s="210"/>
      <c r="F54" s="211">
        <f>+D54*E54</f>
        <v>0</v>
      </c>
      <c r="G54" s="212"/>
    </row>
    <row r="55" spans="1:7">
      <c r="A55" s="205"/>
      <c r="B55" s="9"/>
      <c r="C55" s="10"/>
      <c r="D55" s="13"/>
      <c r="E55" s="193"/>
      <c r="F55" s="193"/>
      <c r="G55" s="201"/>
    </row>
    <row r="56" spans="1:7">
      <c r="A56" s="15">
        <v>9</v>
      </c>
      <c r="B56" s="295" t="s">
        <v>159</v>
      </c>
      <c r="C56" s="296"/>
      <c r="D56" s="296"/>
      <c r="E56" s="296"/>
      <c r="F56" s="297"/>
      <c r="G56" s="2">
        <f>SUM(F58:F59)</f>
        <v>0</v>
      </c>
    </row>
    <row r="57" spans="1:7">
      <c r="A57" s="206"/>
      <c r="B57" s="207"/>
      <c r="C57" s="216"/>
      <c r="D57" s="209"/>
      <c r="E57" s="210"/>
      <c r="F57" s="211"/>
      <c r="G57" s="212"/>
    </row>
    <row r="58" spans="1:7" ht="69">
      <c r="A58" s="206" t="s">
        <v>37</v>
      </c>
      <c r="B58" s="207" t="s">
        <v>160</v>
      </c>
      <c r="C58" s="216" t="s">
        <v>28</v>
      </c>
      <c r="D58" s="209">
        <v>1</v>
      </c>
      <c r="E58" s="210"/>
      <c r="F58" s="211">
        <f>+D58*E58</f>
        <v>0</v>
      </c>
      <c r="G58" s="212"/>
    </row>
    <row r="59" spans="1:7" ht="57.6">
      <c r="A59" s="206" t="s">
        <v>136</v>
      </c>
      <c r="B59" s="207" t="s">
        <v>161</v>
      </c>
      <c r="C59" s="216" t="s">
        <v>28</v>
      </c>
      <c r="D59" s="13">
        <v>1</v>
      </c>
      <c r="E59" s="193"/>
      <c r="F59" s="211">
        <f>+D59*E59</f>
        <v>0</v>
      </c>
      <c r="G59" s="201"/>
    </row>
    <row r="60" spans="1:7">
      <c r="A60" s="206"/>
      <c r="B60" s="207"/>
      <c r="C60" s="208"/>
      <c r="D60" s="209"/>
      <c r="E60" s="210"/>
      <c r="F60" s="211"/>
      <c r="G60" s="212"/>
    </row>
    <row r="61" spans="1:7">
      <c r="A61" s="15">
        <v>10</v>
      </c>
      <c r="B61" s="295" t="s">
        <v>162</v>
      </c>
      <c r="C61" s="296"/>
      <c r="D61" s="296"/>
      <c r="E61" s="296"/>
      <c r="F61" s="297"/>
      <c r="G61" s="2">
        <f>SUM(F63:F64)</f>
        <v>0</v>
      </c>
    </row>
    <row r="62" spans="1:7">
      <c r="A62" s="205"/>
      <c r="B62" s="9"/>
      <c r="C62" s="10"/>
      <c r="D62" s="13"/>
      <c r="E62" s="193"/>
      <c r="F62" s="193"/>
      <c r="G62" s="201"/>
    </row>
    <row r="63" spans="1:7" ht="85.8">
      <c r="A63" s="205" t="s">
        <v>44</v>
      </c>
      <c r="B63" s="207" t="s">
        <v>163</v>
      </c>
      <c r="C63" s="10" t="s">
        <v>28</v>
      </c>
      <c r="D63" s="13">
        <v>1</v>
      </c>
      <c r="E63" s="193"/>
      <c r="F63" s="193">
        <f>+D63*E63</f>
        <v>0</v>
      </c>
      <c r="G63" s="201"/>
    </row>
    <row r="64" spans="1:7" ht="55.2">
      <c r="A64" s="205" t="s">
        <v>83</v>
      </c>
      <c r="B64" s="215" t="s">
        <v>103</v>
      </c>
      <c r="C64" s="10" t="s">
        <v>139</v>
      </c>
      <c r="D64" s="13">
        <f>1.9*0.6</f>
        <v>1.1399999999999999</v>
      </c>
      <c r="E64" s="193"/>
      <c r="F64" s="193">
        <f>+D64*E64</f>
        <v>0</v>
      </c>
      <c r="G64" s="201"/>
    </row>
    <row r="65" spans="1:7">
      <c r="A65" s="206"/>
      <c r="B65" s="207"/>
      <c r="C65" s="208"/>
      <c r="D65" s="209"/>
      <c r="E65" s="210"/>
      <c r="F65" s="211"/>
      <c r="G65" s="212"/>
    </row>
    <row r="66" spans="1:7">
      <c r="A66" s="15">
        <v>11</v>
      </c>
      <c r="B66" s="295" t="s">
        <v>164</v>
      </c>
      <c r="C66" s="296"/>
      <c r="D66" s="296"/>
      <c r="E66" s="296"/>
      <c r="F66" s="297"/>
      <c r="G66" s="2">
        <f>+SUM(F68:F70)</f>
        <v>0</v>
      </c>
    </row>
    <row r="67" spans="1:7">
      <c r="A67" s="205"/>
      <c r="B67" s="9"/>
      <c r="C67" s="10"/>
      <c r="D67" s="13"/>
      <c r="E67" s="193"/>
      <c r="F67" s="193"/>
      <c r="G67" s="201"/>
    </row>
    <row r="68" spans="1:7" ht="41.4">
      <c r="A68" s="205" t="s">
        <v>165</v>
      </c>
      <c r="B68" s="207" t="s">
        <v>166</v>
      </c>
      <c r="C68" s="10" t="s">
        <v>77</v>
      </c>
      <c r="D68" s="13">
        <v>2</v>
      </c>
      <c r="E68" s="210"/>
      <c r="F68" s="211">
        <f>+D68*E68</f>
        <v>0</v>
      </c>
      <c r="G68" s="212"/>
    </row>
    <row r="69" spans="1:7" ht="41.4">
      <c r="A69" s="205" t="s">
        <v>167</v>
      </c>
      <c r="B69" s="207" t="s">
        <v>168</v>
      </c>
      <c r="C69" s="10" t="s">
        <v>77</v>
      </c>
      <c r="D69" s="13">
        <v>1</v>
      </c>
      <c r="E69" s="210"/>
      <c r="F69" s="211">
        <f>+D69*E69</f>
        <v>0</v>
      </c>
      <c r="G69" s="212"/>
    </row>
    <row r="70" spans="1:7" ht="55.2">
      <c r="A70" s="206" t="s">
        <v>169</v>
      </c>
      <c r="B70" s="207" t="s">
        <v>170</v>
      </c>
      <c r="C70" s="208" t="s">
        <v>28</v>
      </c>
      <c r="D70" s="209">
        <v>3</v>
      </c>
      <c r="E70" s="210"/>
      <c r="F70" s="211">
        <f>+D70*E70</f>
        <v>0</v>
      </c>
      <c r="G70" s="212"/>
    </row>
    <row r="71" spans="1:7">
      <c r="A71" s="206"/>
      <c r="B71" s="207"/>
      <c r="C71" s="208"/>
      <c r="D71" s="209"/>
      <c r="E71" s="210"/>
      <c r="F71" s="211"/>
      <c r="G71" s="212"/>
    </row>
    <row r="72" spans="1:7">
      <c r="A72" s="15">
        <v>12</v>
      </c>
      <c r="B72" s="295" t="s">
        <v>171</v>
      </c>
      <c r="C72" s="296"/>
      <c r="D72" s="296"/>
      <c r="E72" s="296"/>
      <c r="F72" s="297"/>
      <c r="G72" s="2">
        <f>+SUM(F74:F75)</f>
        <v>0</v>
      </c>
    </row>
    <row r="73" spans="1:7">
      <c r="A73" s="205"/>
      <c r="B73" s="9"/>
      <c r="C73" s="10"/>
      <c r="D73" s="13"/>
      <c r="E73" s="193"/>
      <c r="F73" s="193"/>
      <c r="G73" s="201"/>
    </row>
    <row r="74" spans="1:7" ht="55.2">
      <c r="A74" s="205" t="s">
        <v>165</v>
      </c>
      <c r="B74" s="207" t="s">
        <v>172</v>
      </c>
      <c r="C74" s="10" t="s">
        <v>139</v>
      </c>
      <c r="D74" s="13">
        <v>18</v>
      </c>
      <c r="E74" s="193"/>
      <c r="F74" s="193">
        <f>+D74*E74</f>
        <v>0</v>
      </c>
      <c r="G74" s="201"/>
    </row>
    <row r="75" spans="1:7" ht="55.2">
      <c r="A75" s="205" t="s">
        <v>167</v>
      </c>
      <c r="B75" s="207" t="s">
        <v>173</v>
      </c>
      <c r="C75" s="10" t="s">
        <v>77</v>
      </c>
      <c r="D75" s="13">
        <v>1</v>
      </c>
      <c r="E75" s="193"/>
      <c r="F75" s="193">
        <f>+D75*E75</f>
        <v>0</v>
      </c>
      <c r="G75" s="201"/>
    </row>
    <row r="76" spans="1:7">
      <c r="A76" s="205"/>
      <c r="B76" s="217"/>
      <c r="C76" s="10"/>
      <c r="D76" s="218"/>
      <c r="E76" s="193"/>
      <c r="F76" s="193"/>
      <c r="G76" s="201"/>
    </row>
    <row r="77" spans="1:7">
      <c r="A77" s="15" t="s">
        <v>174</v>
      </c>
      <c r="B77" s="295" t="s">
        <v>175</v>
      </c>
      <c r="C77" s="296"/>
      <c r="D77" s="296"/>
      <c r="E77" s="296"/>
      <c r="F77" s="297"/>
      <c r="G77" s="2">
        <f>F78</f>
        <v>0</v>
      </c>
    </row>
    <row r="78" spans="1:7" ht="110.4">
      <c r="A78" s="205" t="s">
        <v>176</v>
      </c>
      <c r="B78" s="207" t="s">
        <v>113</v>
      </c>
      <c r="C78" s="10" t="s">
        <v>28</v>
      </c>
      <c r="D78" s="13">
        <v>1</v>
      </c>
      <c r="E78" s="210">
        <v>0</v>
      </c>
      <c r="F78" s="210">
        <f>D78*E78</f>
        <v>0</v>
      </c>
      <c r="G78" s="219"/>
    </row>
    <row r="79" spans="1:7" ht="15" thickBot="1">
      <c r="A79" s="206"/>
      <c r="B79" s="220"/>
      <c r="C79" s="208"/>
      <c r="D79" s="221"/>
      <c r="E79" s="210"/>
      <c r="F79" s="211"/>
      <c r="G79" s="222"/>
    </row>
    <row r="80" spans="1:7">
      <c r="A80" s="223"/>
      <c r="B80" s="287"/>
      <c r="C80" s="288"/>
      <c r="D80" s="288"/>
      <c r="E80" s="288"/>
      <c r="F80" s="289"/>
      <c r="G80" s="290">
        <f>SUM(G10:G79)</f>
        <v>0</v>
      </c>
    </row>
    <row r="81" spans="1:7" ht="15" thickBot="1">
      <c r="A81" s="224"/>
      <c r="B81" s="292" t="s">
        <v>34</v>
      </c>
      <c r="C81" s="293"/>
      <c r="D81" s="293"/>
      <c r="E81" s="293"/>
      <c r="F81" s="294"/>
      <c r="G81" s="291"/>
    </row>
  </sheetData>
  <mergeCells count="25">
    <mergeCell ref="B32:F32"/>
    <mergeCell ref="B39:F39"/>
    <mergeCell ref="B48:F48"/>
    <mergeCell ref="B52:F52"/>
    <mergeCell ref="A9:G9"/>
    <mergeCell ref="B10:F10"/>
    <mergeCell ref="B14:F14"/>
    <mergeCell ref="B18:F18"/>
    <mergeCell ref="B27:F27"/>
    <mergeCell ref="F4:G4"/>
    <mergeCell ref="F5:G5"/>
    <mergeCell ref="A7:A8"/>
    <mergeCell ref="B7:B8"/>
    <mergeCell ref="C7:C8"/>
    <mergeCell ref="D7:D8"/>
    <mergeCell ref="E7:E8"/>
    <mergeCell ref="F7:G7"/>
    <mergeCell ref="B80:F80"/>
    <mergeCell ref="G80:G81"/>
    <mergeCell ref="B81:F81"/>
    <mergeCell ref="B56:F56"/>
    <mergeCell ref="B61:F61"/>
    <mergeCell ref="B66:F66"/>
    <mergeCell ref="B72:F72"/>
    <mergeCell ref="B77:F77"/>
  </mergeCells>
  <pageMargins left="0.51181102362204722" right="0.51181102362204722" top="0.78740157480314965" bottom="0.59055118110236227" header="0.31496062992125984" footer="0.39370078740157483"/>
  <pageSetup paperSize="9" scale="92" orientation="portrait" r:id="rId1"/>
  <headerFooter>
    <oddHeader>&amp;L&amp;G</oddHeader>
    <oddFooter>&amp;R&amp;8&amp;K01+033&amp;P/&amp;N</oddFooter>
  </headerFooter>
  <rowBreaks count="1" manualBreakCount="1">
    <brk id="55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5"/>
  <sheetViews>
    <sheetView topLeftCell="A49" zoomScale="85" zoomScaleNormal="85" workbookViewId="0">
      <selection activeCell="B12" sqref="B12"/>
    </sheetView>
  </sheetViews>
  <sheetFormatPr defaultColWidth="9.109375" defaultRowHeight="14.4"/>
  <cols>
    <col min="2" max="2" width="43.44140625" customWidth="1"/>
    <col min="7" max="7" width="14.44140625" customWidth="1"/>
  </cols>
  <sheetData>
    <row r="1" spans="1:7">
      <c r="A1" s="105"/>
      <c r="E1" s="106"/>
      <c r="F1" s="106"/>
    </row>
    <row r="2" spans="1:7">
      <c r="A2" s="19" t="s">
        <v>0</v>
      </c>
      <c r="B2" s="19"/>
      <c r="C2" s="107"/>
      <c r="D2" s="107"/>
      <c r="E2" s="20"/>
      <c r="F2" s="108"/>
      <c r="G2" s="107"/>
    </row>
    <row r="3" spans="1:7">
      <c r="A3" s="16" t="s">
        <v>1</v>
      </c>
      <c r="B3" s="19" t="s">
        <v>46</v>
      </c>
      <c r="C3" s="18"/>
      <c r="E3" s="27"/>
      <c r="F3" s="17"/>
      <c r="G3" s="18"/>
    </row>
    <row r="4" spans="1:7">
      <c r="A4" s="16" t="s">
        <v>2</v>
      </c>
      <c r="B4" s="19"/>
      <c r="C4" s="18"/>
      <c r="D4" s="18"/>
      <c r="E4" s="20"/>
      <c r="F4" s="324"/>
      <c r="G4" s="324"/>
    </row>
    <row r="5" spans="1:7">
      <c r="A5" s="16" t="s">
        <v>3</v>
      </c>
      <c r="B5" s="19" t="s">
        <v>94</v>
      </c>
      <c r="C5" s="18"/>
      <c r="D5" s="18"/>
      <c r="E5" s="20"/>
      <c r="F5" s="324" t="s">
        <v>115</v>
      </c>
      <c r="G5" s="324"/>
    </row>
    <row r="6" spans="1:7" ht="15" thickBot="1">
      <c r="A6" s="18"/>
      <c r="B6" s="19"/>
      <c r="C6" s="18"/>
      <c r="D6" s="18"/>
      <c r="E6" s="21"/>
      <c r="F6" s="21"/>
      <c r="G6" s="18"/>
    </row>
    <row r="7" spans="1:7" ht="15" thickBot="1">
      <c r="A7" s="325" t="s">
        <v>4</v>
      </c>
      <c r="B7" s="325" t="s">
        <v>5</v>
      </c>
      <c r="C7" s="325" t="s">
        <v>6</v>
      </c>
      <c r="D7" s="327" t="s">
        <v>7</v>
      </c>
      <c r="E7" s="329" t="s">
        <v>8</v>
      </c>
      <c r="F7" s="331" t="s">
        <v>9</v>
      </c>
      <c r="G7" s="332"/>
    </row>
    <row r="8" spans="1:7" ht="15" thickBot="1">
      <c r="A8" s="326"/>
      <c r="B8" s="326" t="s">
        <v>10</v>
      </c>
      <c r="C8" s="326" t="s">
        <v>11</v>
      </c>
      <c r="D8" s="328" t="s">
        <v>12</v>
      </c>
      <c r="E8" s="330"/>
      <c r="F8" s="109" t="s">
        <v>13</v>
      </c>
      <c r="G8" s="110" t="s">
        <v>14</v>
      </c>
    </row>
    <row r="9" spans="1:7">
      <c r="A9" s="321"/>
      <c r="B9" s="322"/>
      <c r="C9" s="322"/>
      <c r="D9" s="322"/>
      <c r="E9" s="322"/>
      <c r="F9" s="322"/>
      <c r="G9" s="323"/>
    </row>
    <row r="10" spans="1:7">
      <c r="A10" s="111">
        <v>1</v>
      </c>
      <c r="B10" s="310" t="s">
        <v>15</v>
      </c>
      <c r="C10" s="311"/>
      <c r="D10" s="311"/>
      <c r="E10" s="311"/>
      <c r="F10" s="312"/>
      <c r="G10" s="112">
        <f>+SUM(F12:F13)</f>
        <v>0</v>
      </c>
    </row>
    <row r="11" spans="1:7">
      <c r="A11" s="113"/>
      <c r="B11" s="114"/>
      <c r="C11" s="114"/>
      <c r="D11" s="114"/>
      <c r="E11" s="115"/>
      <c r="F11" s="115"/>
      <c r="G11" s="116"/>
    </row>
    <row r="12" spans="1:7" ht="43.5" customHeight="1">
      <c r="A12" s="66" t="s">
        <v>16</v>
      </c>
      <c r="B12" s="30" t="s">
        <v>86</v>
      </c>
      <c r="C12" s="31" t="s">
        <v>74</v>
      </c>
      <c r="D12" s="33">
        <f>(1.65*0.15)</f>
        <v>0.24749999999999997</v>
      </c>
      <c r="E12" s="33"/>
      <c r="F12" s="145">
        <f>D12*E12</f>
        <v>0</v>
      </c>
      <c r="G12" s="116"/>
    </row>
    <row r="13" spans="1:7" ht="49.5" customHeight="1">
      <c r="A13" s="66" t="s">
        <v>16</v>
      </c>
      <c r="B13" s="30" t="s">
        <v>72</v>
      </c>
      <c r="C13" s="31" t="s">
        <v>71</v>
      </c>
      <c r="D13" s="32">
        <f>0.6*0.6</f>
        <v>0.36</v>
      </c>
      <c r="E13" s="33"/>
      <c r="F13" s="33">
        <f t="shared" ref="F13" si="0">D13*E13</f>
        <v>0</v>
      </c>
      <c r="G13" s="34"/>
    </row>
    <row r="14" spans="1:7" ht="13.5" customHeight="1">
      <c r="A14" s="66"/>
      <c r="B14" s="30"/>
      <c r="C14" s="31"/>
      <c r="D14" s="32"/>
      <c r="E14" s="33"/>
      <c r="F14" s="33"/>
      <c r="G14" s="34"/>
    </row>
    <row r="15" spans="1:7">
      <c r="A15" s="111">
        <v>2</v>
      </c>
      <c r="B15" s="310" t="s">
        <v>95</v>
      </c>
      <c r="C15" s="311"/>
      <c r="D15" s="311"/>
      <c r="E15" s="311"/>
      <c r="F15" s="312"/>
      <c r="G15" s="112">
        <f>+SUM(F18:F24)</f>
        <v>0</v>
      </c>
    </row>
    <row r="16" spans="1:7">
      <c r="A16" s="75"/>
      <c r="B16" s="76"/>
      <c r="C16" s="31"/>
      <c r="D16" s="32"/>
      <c r="E16" s="33"/>
      <c r="F16" s="33"/>
      <c r="G16" s="65"/>
    </row>
    <row r="17" spans="1:7" ht="18" customHeight="1">
      <c r="A17" s="75" t="s">
        <v>18</v>
      </c>
      <c r="B17" s="146" t="s">
        <v>79</v>
      </c>
      <c r="C17" s="31"/>
      <c r="D17" s="32"/>
      <c r="E17" s="33"/>
      <c r="F17" s="33"/>
      <c r="G17" s="65"/>
    </row>
    <row r="18" spans="1:7" ht="45" customHeight="1">
      <c r="A18" s="75" t="s">
        <v>47</v>
      </c>
      <c r="B18" s="76" t="s">
        <v>104</v>
      </c>
      <c r="C18" s="31" t="s">
        <v>71</v>
      </c>
      <c r="D18" s="32">
        <f>2.39</f>
        <v>2.39</v>
      </c>
      <c r="E18" s="33"/>
      <c r="F18" s="33">
        <f t="shared" ref="F18:F19" si="1">D18*E18</f>
        <v>0</v>
      </c>
      <c r="G18" s="65"/>
    </row>
    <row r="19" spans="1:7" ht="45" customHeight="1">
      <c r="A19" s="75" t="s">
        <v>48</v>
      </c>
      <c r="B19" s="76" t="s">
        <v>105</v>
      </c>
      <c r="C19" s="31" t="s">
        <v>71</v>
      </c>
      <c r="D19" s="32">
        <f>D18</f>
        <v>2.39</v>
      </c>
      <c r="E19" s="33"/>
      <c r="F19" s="33">
        <f t="shared" si="1"/>
        <v>0</v>
      </c>
      <c r="G19" s="65"/>
    </row>
    <row r="20" spans="1:7" ht="59.25" customHeight="1">
      <c r="A20" s="75" t="s">
        <v>84</v>
      </c>
      <c r="B20" s="76" t="s">
        <v>103</v>
      </c>
      <c r="C20" s="31" t="s">
        <v>71</v>
      </c>
      <c r="D20" s="32">
        <f>(0.8*2)*2.1</f>
        <v>3.3600000000000003</v>
      </c>
      <c r="E20" s="33"/>
      <c r="F20" s="33">
        <f t="shared" ref="F20" si="2">D20*E20</f>
        <v>0</v>
      </c>
      <c r="G20" s="65"/>
    </row>
    <row r="21" spans="1:7" ht="24" customHeight="1">
      <c r="A21" s="75" t="s">
        <v>96</v>
      </c>
      <c r="B21" s="146" t="s">
        <v>29</v>
      </c>
      <c r="C21" s="31"/>
      <c r="D21" s="32"/>
      <c r="E21" s="33"/>
      <c r="F21" s="33"/>
      <c r="G21" s="65"/>
    </row>
    <row r="22" spans="1:7" ht="67.5" customHeight="1">
      <c r="A22" s="75" t="s">
        <v>47</v>
      </c>
      <c r="B22" s="76" t="s">
        <v>30</v>
      </c>
      <c r="C22" s="31" t="s">
        <v>76</v>
      </c>
      <c r="D22" s="32">
        <v>1</v>
      </c>
      <c r="E22" s="33"/>
      <c r="F22" s="33">
        <f t="shared" ref="F22:F24" si="3">D22*E22</f>
        <v>0</v>
      </c>
      <c r="G22" s="65"/>
    </row>
    <row r="23" spans="1:7" ht="69" customHeight="1">
      <c r="A23" s="75" t="s">
        <v>48</v>
      </c>
      <c r="B23" s="76" t="s">
        <v>31</v>
      </c>
      <c r="C23" s="31" t="s">
        <v>76</v>
      </c>
      <c r="D23" s="32">
        <v>1</v>
      </c>
      <c r="E23" s="33"/>
      <c r="F23" s="33">
        <f t="shared" si="3"/>
        <v>0</v>
      </c>
      <c r="G23" s="65"/>
    </row>
    <row r="24" spans="1:7" ht="67.5" customHeight="1">
      <c r="A24" s="75" t="s">
        <v>84</v>
      </c>
      <c r="B24" s="76" t="s">
        <v>80</v>
      </c>
      <c r="C24" s="31" t="s">
        <v>76</v>
      </c>
      <c r="D24" s="32">
        <v>1</v>
      </c>
      <c r="E24" s="33"/>
      <c r="F24" s="33">
        <f t="shared" si="3"/>
        <v>0</v>
      </c>
      <c r="G24" s="65"/>
    </row>
    <row r="25" spans="1:7">
      <c r="A25" s="75"/>
      <c r="B25" s="76"/>
      <c r="C25" s="122"/>
      <c r="D25" s="32"/>
      <c r="E25" s="33"/>
      <c r="F25" s="33"/>
      <c r="G25" s="65"/>
    </row>
    <row r="26" spans="1:7">
      <c r="A26" s="111">
        <v>3</v>
      </c>
      <c r="B26" s="310" t="s">
        <v>97</v>
      </c>
      <c r="C26" s="311"/>
      <c r="D26" s="311"/>
      <c r="E26" s="311"/>
      <c r="F26" s="312"/>
      <c r="G26" s="112">
        <f>+SUM(F28)</f>
        <v>0</v>
      </c>
    </row>
    <row r="27" spans="1:7">
      <c r="A27" s="75"/>
      <c r="B27" s="76"/>
      <c r="C27" s="122"/>
      <c r="D27" s="32"/>
      <c r="E27" s="33"/>
      <c r="F27" s="33"/>
      <c r="G27" s="65"/>
    </row>
    <row r="28" spans="1:7" ht="46.5" customHeight="1">
      <c r="A28" s="75" t="s">
        <v>24</v>
      </c>
      <c r="B28" s="76" t="s">
        <v>98</v>
      </c>
      <c r="C28" s="31" t="s">
        <v>28</v>
      </c>
      <c r="D28" s="32">
        <v>1</v>
      </c>
      <c r="E28" s="33"/>
      <c r="F28" s="33">
        <f>D28*E28</f>
        <v>0</v>
      </c>
      <c r="G28" s="65"/>
    </row>
    <row r="29" spans="1:7" ht="16.5" customHeight="1">
      <c r="A29" s="75"/>
      <c r="B29" s="76"/>
      <c r="C29" s="31"/>
      <c r="D29" s="32"/>
      <c r="E29" s="33"/>
      <c r="F29" s="33"/>
      <c r="G29" s="65"/>
    </row>
    <row r="30" spans="1:7" ht="16.5" customHeight="1">
      <c r="A30" s="111">
        <v>4</v>
      </c>
      <c r="B30" s="310" t="s">
        <v>99</v>
      </c>
      <c r="C30" s="311"/>
      <c r="D30" s="311"/>
      <c r="E30" s="311"/>
      <c r="F30" s="312"/>
      <c r="G30" s="112">
        <f>+SUM(F32)</f>
        <v>0</v>
      </c>
    </row>
    <row r="31" spans="1:7" ht="16.5" customHeight="1">
      <c r="A31" s="75"/>
      <c r="B31" s="76"/>
      <c r="C31" s="31"/>
      <c r="D31" s="32"/>
      <c r="E31" s="33"/>
      <c r="F31" s="33"/>
      <c r="G31" s="65"/>
    </row>
    <row r="32" spans="1:7" ht="69" customHeight="1">
      <c r="A32" s="75" t="s">
        <v>26</v>
      </c>
      <c r="B32" s="96" t="s">
        <v>100</v>
      </c>
      <c r="C32" s="31" t="s">
        <v>28</v>
      </c>
      <c r="D32" s="32">
        <v>1</v>
      </c>
      <c r="E32" s="33"/>
      <c r="F32" s="33">
        <f>E32</f>
        <v>0</v>
      </c>
      <c r="G32" s="65"/>
    </row>
    <row r="33" spans="1:8">
      <c r="A33" s="75"/>
      <c r="B33" s="76"/>
      <c r="C33" s="31"/>
      <c r="D33" s="32"/>
      <c r="E33" s="33"/>
      <c r="F33" s="33"/>
      <c r="G33" s="65"/>
    </row>
    <row r="34" spans="1:8">
      <c r="A34" s="111">
        <v>5</v>
      </c>
      <c r="B34" s="310" t="s">
        <v>101</v>
      </c>
      <c r="C34" s="311"/>
      <c r="D34" s="311"/>
      <c r="E34" s="311"/>
      <c r="F34" s="312"/>
      <c r="G34" s="112">
        <f>SUM(F36:F37)</f>
        <v>0</v>
      </c>
    </row>
    <row r="35" spans="1:8">
      <c r="A35" s="75"/>
      <c r="B35" s="76"/>
      <c r="C35" s="31"/>
      <c r="D35" s="32"/>
      <c r="E35" s="33"/>
      <c r="F35" s="33"/>
      <c r="G35" s="65"/>
    </row>
    <row r="36" spans="1:8" ht="54" customHeight="1">
      <c r="A36" s="75" t="s">
        <v>27</v>
      </c>
      <c r="B36" s="96" t="s">
        <v>78</v>
      </c>
      <c r="C36" s="31" t="s">
        <v>28</v>
      </c>
      <c r="D36" s="32">
        <v>1</v>
      </c>
      <c r="E36" s="33"/>
      <c r="F36" s="33">
        <f>+D36*E36</f>
        <v>0</v>
      </c>
      <c r="G36" s="65"/>
    </row>
    <row r="37" spans="1:8" ht="62.25" customHeight="1">
      <c r="A37" s="75" t="s">
        <v>51</v>
      </c>
      <c r="B37" s="123" t="s">
        <v>103</v>
      </c>
      <c r="C37" s="31" t="s">
        <v>71</v>
      </c>
      <c r="D37" s="32">
        <f>(1.8*0.6)</f>
        <v>1.08</v>
      </c>
      <c r="E37" s="33"/>
      <c r="F37" s="33">
        <f t="shared" ref="F37" si="4">D37*E37</f>
        <v>0</v>
      </c>
      <c r="G37" s="65"/>
    </row>
    <row r="38" spans="1:8" ht="15" customHeight="1">
      <c r="A38" s="75"/>
      <c r="B38" s="139"/>
      <c r="C38" s="31"/>
      <c r="D38" s="32"/>
      <c r="E38" s="33"/>
      <c r="F38" s="33"/>
      <c r="G38" s="65"/>
    </row>
    <row r="39" spans="1:8" ht="19.5" customHeight="1">
      <c r="A39" s="153" t="s">
        <v>111</v>
      </c>
      <c r="B39" s="154" t="s">
        <v>52</v>
      </c>
      <c r="C39" s="155"/>
      <c r="D39" s="155"/>
      <c r="E39" s="155"/>
      <c r="F39" s="156"/>
      <c r="G39" s="112">
        <f>+SUM(F41)</f>
        <v>0</v>
      </c>
    </row>
    <row r="40" spans="1:8" ht="19.5" customHeight="1">
      <c r="A40" s="157"/>
      <c r="B40" s="158"/>
      <c r="C40" s="127"/>
      <c r="D40" s="127"/>
      <c r="E40" s="127"/>
      <c r="F40" s="127"/>
      <c r="G40" s="159"/>
      <c r="H40" s="165"/>
    </row>
    <row r="41" spans="1:8" ht="54.75" customHeight="1">
      <c r="A41" s="160" t="s">
        <v>32</v>
      </c>
      <c r="B41" s="123" t="s">
        <v>110</v>
      </c>
      <c r="C41" s="161" t="s">
        <v>77</v>
      </c>
      <c r="D41" s="162">
        <v>1</v>
      </c>
      <c r="E41" s="163"/>
      <c r="F41" s="33">
        <f t="shared" ref="F41" si="5">D41*E41</f>
        <v>0</v>
      </c>
      <c r="G41" s="164"/>
    </row>
    <row r="42" spans="1:8" ht="16.5" customHeight="1">
      <c r="A42" s="75"/>
      <c r="B42" s="76"/>
      <c r="C42" s="31"/>
      <c r="D42" s="32"/>
      <c r="E42" s="33"/>
      <c r="F42" s="33"/>
      <c r="G42" s="65"/>
    </row>
    <row r="43" spans="1:8" ht="16.5" customHeight="1">
      <c r="A43" s="111">
        <v>7</v>
      </c>
      <c r="B43" s="310" t="s">
        <v>112</v>
      </c>
      <c r="C43" s="311"/>
      <c r="D43" s="311"/>
      <c r="E43" s="311"/>
      <c r="F43" s="312"/>
      <c r="G43" s="112">
        <f>SUM(F45:F48)</f>
        <v>0</v>
      </c>
    </row>
    <row r="44" spans="1:8" ht="16.5" customHeight="1">
      <c r="A44" s="136"/>
      <c r="B44" s="127"/>
      <c r="C44" s="128"/>
      <c r="D44" s="129"/>
      <c r="E44" s="130"/>
      <c r="F44" s="130"/>
      <c r="G44" s="131"/>
    </row>
    <row r="45" spans="1:8" ht="42.75" customHeight="1">
      <c r="A45" s="137" t="s">
        <v>33</v>
      </c>
      <c r="B45" s="76" t="s">
        <v>108</v>
      </c>
      <c r="C45" s="31" t="s">
        <v>77</v>
      </c>
      <c r="D45" s="32">
        <v>1</v>
      </c>
      <c r="E45" s="49"/>
      <c r="F45" s="49">
        <f>D45*E45</f>
        <v>0</v>
      </c>
      <c r="G45" s="103"/>
    </row>
    <row r="46" spans="1:8" ht="45" customHeight="1">
      <c r="A46" s="137" t="s">
        <v>70</v>
      </c>
      <c r="B46" s="76" t="s">
        <v>109</v>
      </c>
      <c r="C46" s="31" t="s">
        <v>77</v>
      </c>
      <c r="D46" s="32">
        <v>1</v>
      </c>
      <c r="E46" s="49"/>
      <c r="F46" s="49">
        <f>D46*E46</f>
        <v>0</v>
      </c>
      <c r="G46" s="103"/>
    </row>
    <row r="47" spans="1:8" ht="42" customHeight="1">
      <c r="A47" s="137" t="s">
        <v>81</v>
      </c>
      <c r="B47" s="76" t="s">
        <v>107</v>
      </c>
      <c r="C47" s="31" t="s">
        <v>77</v>
      </c>
      <c r="D47" s="32">
        <v>1</v>
      </c>
      <c r="E47" s="49"/>
      <c r="F47" s="49">
        <f>D47*E47</f>
        <v>0</v>
      </c>
      <c r="G47" s="103"/>
    </row>
    <row r="48" spans="1:8" ht="45" customHeight="1">
      <c r="A48" s="137" t="s">
        <v>82</v>
      </c>
      <c r="B48" s="86" t="s">
        <v>106</v>
      </c>
      <c r="C48" s="31" t="s">
        <v>77</v>
      </c>
      <c r="D48" s="32">
        <v>1</v>
      </c>
      <c r="E48" s="49"/>
      <c r="F48" s="49">
        <f>D48*E48</f>
        <v>0</v>
      </c>
      <c r="G48" s="103"/>
    </row>
    <row r="49" spans="1:7" ht="17.25" customHeight="1">
      <c r="A49" s="147"/>
      <c r="B49" s="139"/>
      <c r="C49" s="148"/>
      <c r="D49" s="149"/>
      <c r="E49" s="150"/>
      <c r="F49" s="134"/>
      <c r="G49" s="152"/>
    </row>
    <row r="50" spans="1:7" ht="21.75" customHeight="1">
      <c r="A50" s="166">
        <v>8</v>
      </c>
      <c r="B50" s="167" t="s">
        <v>114</v>
      </c>
      <c r="C50" s="168"/>
      <c r="D50" s="168"/>
      <c r="E50" s="168"/>
      <c r="F50" s="169"/>
      <c r="G50" s="112">
        <f>+SUM(F52)</f>
        <v>0</v>
      </c>
    </row>
    <row r="51" spans="1:7" ht="20.25" customHeight="1">
      <c r="A51" s="132"/>
      <c r="B51" s="76"/>
      <c r="C51" s="31"/>
      <c r="D51" s="170"/>
      <c r="E51" s="76"/>
      <c r="F51" s="33"/>
      <c r="G51" s="171"/>
    </row>
    <row r="52" spans="1:7" ht="96.75" customHeight="1">
      <c r="A52" s="132" t="s">
        <v>36</v>
      </c>
      <c r="B52" s="76" t="s">
        <v>113</v>
      </c>
      <c r="C52" s="31" t="s">
        <v>28</v>
      </c>
      <c r="D52" s="170"/>
      <c r="E52" s="76"/>
      <c r="F52" s="33">
        <f>D52*E52</f>
        <v>0</v>
      </c>
      <c r="G52" s="171"/>
    </row>
    <row r="53" spans="1:7" ht="20.25" customHeight="1" thickBot="1">
      <c r="A53" s="172"/>
      <c r="B53" s="86"/>
      <c r="C53" s="87"/>
      <c r="D53" s="88"/>
      <c r="E53" s="86"/>
      <c r="F53" s="89"/>
      <c r="G53" s="171"/>
    </row>
    <row r="54" spans="1:7">
      <c r="A54" s="142"/>
      <c r="B54" s="313"/>
      <c r="C54" s="314"/>
      <c r="D54" s="314"/>
      <c r="E54" s="314"/>
      <c r="F54" s="315"/>
      <c r="G54" s="316">
        <f>+SUM(G10:G50)</f>
        <v>0</v>
      </c>
    </row>
    <row r="55" spans="1:7" ht="15" thickBot="1">
      <c r="A55" s="143"/>
      <c r="B55" s="318" t="s">
        <v>34</v>
      </c>
      <c r="C55" s="319"/>
      <c r="D55" s="319"/>
      <c r="E55" s="319"/>
      <c r="F55" s="320"/>
      <c r="G55" s="317"/>
    </row>
  </sheetData>
  <mergeCells count="18">
    <mergeCell ref="F4:G4"/>
    <mergeCell ref="F5:G5"/>
    <mergeCell ref="A7:A8"/>
    <mergeCell ref="B7:B8"/>
    <mergeCell ref="C7:C8"/>
    <mergeCell ref="D7:D8"/>
    <mergeCell ref="E7:E8"/>
    <mergeCell ref="F7:G7"/>
    <mergeCell ref="B43:F43"/>
    <mergeCell ref="B54:F54"/>
    <mergeCell ref="G54:G55"/>
    <mergeCell ref="B55:F55"/>
    <mergeCell ref="A9:G9"/>
    <mergeCell ref="B10:F10"/>
    <mergeCell ref="B15:F15"/>
    <mergeCell ref="B26:F26"/>
    <mergeCell ref="B30:F30"/>
    <mergeCell ref="B34:F34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BreakPreview" topLeftCell="A58" zoomScaleNormal="100" zoomScaleSheetLayoutView="100" workbookViewId="0">
      <selection activeCell="E55" sqref="E55"/>
    </sheetView>
  </sheetViews>
  <sheetFormatPr defaultRowHeight="14.4"/>
  <cols>
    <col min="1" max="1" width="9.88671875" style="176" customWidth="1"/>
    <col min="2" max="2" width="39.5546875" style="177" customWidth="1"/>
    <col min="3" max="3" width="4.5546875" style="177" customWidth="1"/>
    <col min="4" max="4" width="8" style="177" customWidth="1"/>
    <col min="5" max="5" width="11.44140625" style="178" customWidth="1"/>
    <col min="6" max="6" width="12.33203125" style="178" customWidth="1"/>
    <col min="7" max="7" width="16.44140625" style="177" customWidth="1"/>
  </cols>
  <sheetData>
    <row r="1" spans="1:7" ht="8.1" customHeight="1"/>
    <row r="2" spans="1:7">
      <c r="A2" s="179" t="s">
        <v>0</v>
      </c>
      <c r="B2" s="179"/>
      <c r="C2" s="179"/>
      <c r="D2" s="179"/>
      <c r="E2" s="180"/>
      <c r="F2" s="181"/>
      <c r="G2" s="179"/>
    </row>
    <row r="3" spans="1:7">
      <c r="A3" s="182" t="s">
        <v>1</v>
      </c>
      <c r="B3" s="179" t="s">
        <v>46</v>
      </c>
      <c r="C3" s="182"/>
      <c r="E3" s="183"/>
      <c r="F3" s="183"/>
      <c r="G3" s="182"/>
    </row>
    <row r="4" spans="1:7">
      <c r="A4" s="182" t="s">
        <v>2</v>
      </c>
      <c r="B4" s="179"/>
      <c r="C4" s="182"/>
      <c r="D4" s="182"/>
      <c r="E4" s="180"/>
      <c r="F4" s="298"/>
      <c r="G4" s="298"/>
    </row>
    <row r="5" spans="1:7">
      <c r="A5" s="182" t="s">
        <v>3</v>
      </c>
      <c r="B5" s="179" t="s">
        <v>177</v>
      </c>
      <c r="C5" s="182"/>
      <c r="D5" s="182"/>
      <c r="E5" s="180"/>
      <c r="F5" s="298" t="s">
        <v>115</v>
      </c>
      <c r="G5" s="298"/>
    </row>
    <row r="6" spans="1:7" ht="15" thickBot="1">
      <c r="A6" s="182"/>
      <c r="B6" s="179"/>
      <c r="C6" s="182"/>
      <c r="D6" s="182"/>
      <c r="E6" s="184"/>
      <c r="F6" s="184"/>
      <c r="G6" s="182"/>
    </row>
    <row r="7" spans="1:7" ht="15" thickBot="1">
      <c r="A7" s="299" t="s">
        <v>4</v>
      </c>
      <c r="B7" s="299" t="s">
        <v>5</v>
      </c>
      <c r="C7" s="299" t="s">
        <v>6</v>
      </c>
      <c r="D7" s="301" t="s">
        <v>7</v>
      </c>
      <c r="E7" s="303" t="s">
        <v>8</v>
      </c>
      <c r="F7" s="305" t="s">
        <v>9</v>
      </c>
      <c r="G7" s="306"/>
    </row>
    <row r="8" spans="1:7" ht="15" thickBot="1">
      <c r="A8" s="300"/>
      <c r="B8" s="300" t="s">
        <v>10</v>
      </c>
      <c r="C8" s="300" t="s">
        <v>11</v>
      </c>
      <c r="D8" s="302" t="s">
        <v>12</v>
      </c>
      <c r="E8" s="304"/>
      <c r="F8" s="185" t="s">
        <v>13</v>
      </c>
      <c r="G8" s="186" t="s">
        <v>14</v>
      </c>
    </row>
    <row r="9" spans="1:7" ht="12" customHeight="1">
      <c r="A9" s="307"/>
      <c r="B9" s="308"/>
      <c r="C9" s="308"/>
      <c r="D9" s="308"/>
      <c r="E9" s="308"/>
      <c r="F9" s="308"/>
      <c r="G9" s="309"/>
    </row>
    <row r="10" spans="1:7">
      <c r="A10" s="15">
        <v>1</v>
      </c>
      <c r="B10" s="295" t="s">
        <v>15</v>
      </c>
      <c r="C10" s="296"/>
      <c r="D10" s="296"/>
      <c r="E10" s="296"/>
      <c r="F10" s="297"/>
      <c r="G10" s="2">
        <f>+SUM(F12:F13)</f>
        <v>0</v>
      </c>
    </row>
    <row r="11" spans="1:7" ht="6.9" customHeight="1">
      <c r="A11" s="187"/>
      <c r="B11" s="188"/>
      <c r="C11" s="188"/>
      <c r="D11" s="188"/>
      <c r="E11" s="189"/>
      <c r="F11" s="189"/>
      <c r="G11" s="190"/>
    </row>
    <row r="12" spans="1:7" ht="55.2">
      <c r="A12" s="191" t="s">
        <v>16</v>
      </c>
      <c r="B12" s="192" t="s">
        <v>178</v>
      </c>
      <c r="C12" s="10" t="s">
        <v>141</v>
      </c>
      <c r="D12" s="13">
        <f>35.87*0.15</f>
        <v>5.3804999999999996</v>
      </c>
      <c r="E12" s="193"/>
      <c r="F12" s="193">
        <f>+D12*E12</f>
        <v>0</v>
      </c>
      <c r="G12" s="194"/>
    </row>
    <row r="13" spans="1:7" ht="55.2">
      <c r="A13" s="191" t="s">
        <v>17</v>
      </c>
      <c r="B13" s="192" t="s">
        <v>138</v>
      </c>
      <c r="C13" s="10" t="s">
        <v>139</v>
      </c>
      <c r="D13" s="13">
        <v>1.1399999999999999</v>
      </c>
      <c r="E13" s="193"/>
      <c r="F13" s="193">
        <f>D13*E13</f>
        <v>0</v>
      </c>
      <c r="G13" s="194"/>
    </row>
    <row r="14" spans="1:7" ht="6.9" customHeight="1">
      <c r="A14" s="195"/>
      <c r="B14" s="196"/>
      <c r="C14" s="196"/>
      <c r="D14" s="196"/>
      <c r="E14" s="197"/>
      <c r="F14" s="193"/>
      <c r="G14" s="198"/>
    </row>
    <row r="15" spans="1:7">
      <c r="A15" s="15">
        <v>2</v>
      </c>
      <c r="B15" s="295" t="s">
        <v>179</v>
      </c>
      <c r="C15" s="296"/>
      <c r="D15" s="296"/>
      <c r="E15" s="296"/>
      <c r="F15" s="297"/>
      <c r="G15" s="2">
        <f>SUM(F17:F19)</f>
        <v>0</v>
      </c>
    </row>
    <row r="16" spans="1:7">
      <c r="A16" s="187"/>
      <c r="B16" s="188"/>
      <c r="C16" s="188"/>
      <c r="D16" s="188"/>
      <c r="E16" s="189"/>
      <c r="F16" s="189"/>
      <c r="G16" s="190"/>
    </row>
    <row r="17" spans="1:7" ht="96.6">
      <c r="A17" s="191" t="s">
        <v>18</v>
      </c>
      <c r="B17" s="199" t="s">
        <v>19</v>
      </c>
      <c r="C17" s="200"/>
      <c r="D17" s="13"/>
      <c r="E17" s="193"/>
      <c r="F17" s="193"/>
      <c r="G17" s="201"/>
    </row>
    <row r="18" spans="1:7" ht="16.8">
      <c r="A18" s="191" t="s">
        <v>47</v>
      </c>
      <c r="B18" s="199" t="s">
        <v>22</v>
      </c>
      <c r="C18" s="10" t="s">
        <v>141</v>
      </c>
      <c r="D18" s="193">
        <f>0.2*0.4*8.52+0.2*0.4*4.08*3+4.35*0.2*0.4+0.2*0.4*10</f>
        <v>2.8088000000000006</v>
      </c>
      <c r="E18" s="193"/>
      <c r="F18" s="193">
        <f t="shared" ref="F18:F19" si="0">D18*E18</f>
        <v>0</v>
      </c>
      <c r="G18" s="201"/>
    </row>
    <row r="19" spans="1:7" ht="16.8">
      <c r="A19" s="191" t="s">
        <v>48</v>
      </c>
      <c r="B19" s="199" t="s">
        <v>23</v>
      </c>
      <c r="C19" s="10" t="s">
        <v>141</v>
      </c>
      <c r="D19" s="193">
        <f>32.8*0.15</f>
        <v>4.919999999999999</v>
      </c>
      <c r="E19" s="193"/>
      <c r="F19" s="193">
        <f t="shared" si="0"/>
        <v>0</v>
      </c>
      <c r="G19" s="201"/>
    </row>
    <row r="20" spans="1:7" ht="6.9" customHeight="1">
      <c r="A20" s="195"/>
      <c r="B20" s="202"/>
      <c r="C20" s="202"/>
      <c r="D20" s="202"/>
      <c r="E20" s="203"/>
      <c r="F20" s="203"/>
      <c r="G20" s="204"/>
    </row>
    <row r="21" spans="1:7">
      <c r="A21" s="15">
        <v>3</v>
      </c>
      <c r="B21" s="295" t="s">
        <v>180</v>
      </c>
      <c r="C21" s="296"/>
      <c r="D21" s="296"/>
      <c r="E21" s="296"/>
      <c r="F21" s="297"/>
      <c r="G21" s="2">
        <f>+SUM(F23:F24)</f>
        <v>0</v>
      </c>
    </row>
    <row r="22" spans="1:7" ht="6.9" customHeight="1">
      <c r="A22" s="187"/>
      <c r="B22" s="188"/>
      <c r="C22" s="188"/>
      <c r="D22" s="188"/>
      <c r="E22" s="189"/>
      <c r="F22" s="189"/>
      <c r="G22" s="190"/>
    </row>
    <row r="23" spans="1:7" ht="69">
      <c r="A23" s="205" t="s">
        <v>181</v>
      </c>
      <c r="B23" s="9" t="s">
        <v>143</v>
      </c>
      <c r="C23" s="10" t="s">
        <v>139</v>
      </c>
      <c r="D23" s="13">
        <f>3*0.5</f>
        <v>1.5</v>
      </c>
      <c r="E23" s="193"/>
      <c r="F23" s="193">
        <f t="shared" ref="F23:F24" si="1">D23*E23</f>
        <v>0</v>
      </c>
      <c r="G23" s="201"/>
    </row>
    <row r="24" spans="1:7" ht="85.2">
      <c r="A24" s="205" t="s">
        <v>182</v>
      </c>
      <c r="B24" s="225" t="s">
        <v>144</v>
      </c>
      <c r="C24" s="213" t="s">
        <v>139</v>
      </c>
      <c r="D24" s="13">
        <v>4</v>
      </c>
      <c r="E24" s="193"/>
      <c r="F24" s="193">
        <f t="shared" si="1"/>
        <v>0</v>
      </c>
      <c r="G24" s="201"/>
    </row>
    <row r="25" spans="1:7">
      <c r="A25" s="206"/>
      <c r="B25" s="207"/>
      <c r="C25" s="208"/>
      <c r="D25" s="209"/>
      <c r="E25" s="210"/>
      <c r="F25" s="211"/>
      <c r="G25" s="212"/>
    </row>
    <row r="26" spans="1:7">
      <c r="A26" s="15">
        <v>4</v>
      </c>
      <c r="B26" s="295" t="s">
        <v>183</v>
      </c>
      <c r="C26" s="296"/>
      <c r="D26" s="296"/>
      <c r="E26" s="296"/>
      <c r="F26" s="297"/>
      <c r="G26" s="2">
        <f>SUM(F28:F29)</f>
        <v>0</v>
      </c>
    </row>
    <row r="27" spans="1:7">
      <c r="A27" s="205"/>
      <c r="B27" s="9"/>
      <c r="C27" s="10"/>
      <c r="D27" s="13"/>
      <c r="E27" s="193"/>
      <c r="F27" s="193"/>
      <c r="G27" s="201"/>
    </row>
    <row r="28" spans="1:7" ht="27.6">
      <c r="A28" s="205" t="s">
        <v>26</v>
      </c>
      <c r="B28" s="207" t="s">
        <v>133</v>
      </c>
      <c r="C28" s="10" t="s">
        <v>139</v>
      </c>
      <c r="D28" s="193">
        <f>8.52*3+4.08*3+4.35*3+10*3</f>
        <v>80.849999999999994</v>
      </c>
      <c r="E28" s="193"/>
      <c r="F28" s="193">
        <f>+D28*E28</f>
        <v>0</v>
      </c>
      <c r="G28" s="201"/>
    </row>
    <row r="29" spans="1:7" ht="27.6">
      <c r="A29" s="205" t="s">
        <v>129</v>
      </c>
      <c r="B29" s="207" t="s">
        <v>135</v>
      </c>
      <c r="C29" s="10" t="s">
        <v>139</v>
      </c>
      <c r="D29" s="13">
        <v>32.799999999999997</v>
      </c>
      <c r="E29" s="193"/>
      <c r="F29" s="193">
        <f>+D29*E29</f>
        <v>0</v>
      </c>
      <c r="G29" s="201"/>
    </row>
    <row r="30" spans="1:7">
      <c r="A30" s="205"/>
      <c r="B30" s="9"/>
      <c r="C30" s="10"/>
      <c r="D30" s="13"/>
      <c r="E30" s="193"/>
      <c r="F30" s="193"/>
      <c r="G30" s="201"/>
    </row>
    <row r="31" spans="1:7">
      <c r="A31" s="15">
        <v>5</v>
      </c>
      <c r="B31" s="295" t="s">
        <v>184</v>
      </c>
      <c r="C31" s="296"/>
      <c r="D31" s="296"/>
      <c r="E31" s="296"/>
      <c r="F31" s="297"/>
      <c r="G31" s="2">
        <f>+SUM(F34:F38)</f>
        <v>0</v>
      </c>
    </row>
    <row r="32" spans="1:7" ht="6.9" customHeight="1">
      <c r="A32" s="205"/>
      <c r="B32" s="9"/>
      <c r="C32" s="213"/>
      <c r="D32" s="13"/>
      <c r="E32" s="193"/>
      <c r="F32" s="193"/>
      <c r="G32" s="201"/>
    </row>
    <row r="33" spans="1:7">
      <c r="A33" s="205" t="s">
        <v>27</v>
      </c>
      <c r="B33" s="214" t="s">
        <v>29</v>
      </c>
      <c r="C33" s="213"/>
      <c r="D33" s="13"/>
      <c r="E33" s="193"/>
      <c r="F33" s="193"/>
      <c r="G33" s="201"/>
    </row>
    <row r="34" spans="1:7" ht="69">
      <c r="A34" s="205" t="s">
        <v>185</v>
      </c>
      <c r="B34" s="9" t="s">
        <v>30</v>
      </c>
      <c r="C34" s="10" t="s">
        <v>149</v>
      </c>
      <c r="D34" s="13">
        <v>1</v>
      </c>
      <c r="E34" s="193"/>
      <c r="F34" s="193">
        <f>+D34*E34</f>
        <v>0</v>
      </c>
      <c r="G34" s="201"/>
    </row>
    <row r="35" spans="1:7" ht="69">
      <c r="A35" s="205" t="s">
        <v>186</v>
      </c>
      <c r="B35" s="9" t="s">
        <v>31</v>
      </c>
      <c r="C35" s="10" t="s">
        <v>149</v>
      </c>
      <c r="D35" s="13">
        <v>1</v>
      </c>
      <c r="E35" s="193"/>
      <c r="F35" s="193">
        <f t="shared" ref="F35:F38" si="2">+D35*E35</f>
        <v>0</v>
      </c>
      <c r="G35" s="201"/>
    </row>
    <row r="36" spans="1:7" ht="69">
      <c r="A36" s="205" t="s">
        <v>187</v>
      </c>
      <c r="B36" s="9" t="s">
        <v>152</v>
      </c>
      <c r="C36" s="10" t="s">
        <v>149</v>
      </c>
      <c r="D36" s="13">
        <v>1</v>
      </c>
      <c r="E36" s="193"/>
      <c r="F36" s="193">
        <f t="shared" si="2"/>
        <v>0</v>
      </c>
      <c r="G36" s="201"/>
    </row>
    <row r="37" spans="1:7" ht="55.2">
      <c r="A37" s="205" t="s">
        <v>188</v>
      </c>
      <c r="B37" s="215" t="s">
        <v>105</v>
      </c>
      <c r="C37" s="10" t="s">
        <v>139</v>
      </c>
      <c r="D37" s="209">
        <v>1.95</v>
      </c>
      <c r="E37" s="210"/>
      <c r="F37" s="193">
        <f t="shared" si="2"/>
        <v>0</v>
      </c>
      <c r="G37" s="212"/>
    </row>
    <row r="38" spans="1:7" ht="55.2">
      <c r="A38" s="205" t="s">
        <v>189</v>
      </c>
      <c r="B38" s="215" t="s">
        <v>103</v>
      </c>
      <c r="C38" s="10" t="s">
        <v>139</v>
      </c>
      <c r="D38" s="209">
        <f>+(0.5+1.15)*2.1</f>
        <v>3.4649999999999999</v>
      </c>
      <c r="E38" s="210"/>
      <c r="F38" s="193">
        <f t="shared" si="2"/>
        <v>0</v>
      </c>
      <c r="G38" s="212"/>
    </row>
    <row r="39" spans="1:7">
      <c r="A39" s="206"/>
      <c r="B39" s="207"/>
      <c r="C39" s="208"/>
      <c r="D39" s="209"/>
      <c r="E39" s="210"/>
      <c r="F39" s="211"/>
      <c r="G39" s="212"/>
    </row>
    <row r="40" spans="1:7">
      <c r="A40" s="15">
        <v>6</v>
      </c>
      <c r="B40" s="295" t="s">
        <v>53</v>
      </c>
      <c r="C40" s="296"/>
      <c r="D40" s="296"/>
      <c r="E40" s="296"/>
      <c r="F40" s="297"/>
      <c r="G40" s="2">
        <f>+SUM(F42)</f>
        <v>0</v>
      </c>
    </row>
    <row r="41" spans="1:7" ht="6.9" customHeight="1">
      <c r="A41" s="205"/>
      <c r="B41" s="9"/>
      <c r="C41" s="213"/>
      <c r="D41" s="13"/>
      <c r="E41" s="193"/>
      <c r="F41" s="193"/>
      <c r="G41" s="201"/>
    </row>
    <row r="42" spans="1:7" ht="69">
      <c r="A42" s="205" t="s">
        <v>32</v>
      </c>
      <c r="B42" s="9" t="s">
        <v>190</v>
      </c>
      <c r="C42" s="10" t="s">
        <v>28</v>
      </c>
      <c r="D42" s="13">
        <v>1</v>
      </c>
      <c r="E42" s="193"/>
      <c r="F42" s="193">
        <f t="shared" ref="F42" si="3">D42*E42</f>
        <v>0</v>
      </c>
      <c r="G42" s="201"/>
    </row>
    <row r="43" spans="1:7">
      <c r="A43" s="205"/>
      <c r="B43" s="9"/>
      <c r="C43" s="10"/>
      <c r="D43" s="13"/>
      <c r="E43" s="193"/>
      <c r="F43" s="193"/>
      <c r="G43" s="201"/>
    </row>
    <row r="44" spans="1:7">
      <c r="A44" s="15">
        <v>7</v>
      </c>
      <c r="B44" s="295" t="s">
        <v>54</v>
      </c>
      <c r="C44" s="296"/>
      <c r="D44" s="296"/>
      <c r="E44" s="296"/>
      <c r="F44" s="297"/>
      <c r="G44" s="2">
        <f>SUM(F46:F46)</f>
        <v>0</v>
      </c>
    </row>
    <row r="45" spans="1:7">
      <c r="A45" s="206"/>
      <c r="B45" s="207"/>
      <c r="C45" s="216"/>
      <c r="D45" s="209"/>
      <c r="E45" s="210"/>
      <c r="F45" s="211"/>
      <c r="G45" s="212"/>
    </row>
    <row r="46" spans="1:7" ht="55.2">
      <c r="A46" s="206" t="s">
        <v>33</v>
      </c>
      <c r="B46" s="207" t="s">
        <v>158</v>
      </c>
      <c r="C46" s="216" t="s">
        <v>28</v>
      </c>
      <c r="D46" s="209">
        <v>1</v>
      </c>
      <c r="E46" s="210"/>
      <c r="F46" s="211">
        <f>+D46*E46</f>
        <v>0</v>
      </c>
      <c r="G46" s="212"/>
    </row>
    <row r="47" spans="1:7">
      <c r="A47" s="205"/>
      <c r="B47" s="9"/>
      <c r="C47" s="10"/>
      <c r="D47" s="13"/>
      <c r="E47" s="193"/>
      <c r="F47" s="193"/>
      <c r="G47" s="201"/>
    </row>
    <row r="48" spans="1:7">
      <c r="A48" s="15">
        <v>8</v>
      </c>
      <c r="B48" s="295" t="s">
        <v>55</v>
      </c>
      <c r="C48" s="296"/>
      <c r="D48" s="296"/>
      <c r="E48" s="296"/>
      <c r="F48" s="297"/>
      <c r="G48" s="2">
        <f>SUM(F50:F51)</f>
        <v>0</v>
      </c>
    </row>
    <row r="49" spans="1:7">
      <c r="A49" s="206"/>
      <c r="B49" s="207"/>
      <c r="C49" s="216"/>
      <c r="D49" s="209"/>
      <c r="E49" s="210"/>
      <c r="F49" s="211"/>
      <c r="G49" s="212"/>
    </row>
    <row r="50" spans="1:7" ht="69">
      <c r="A50" s="206" t="s">
        <v>36</v>
      </c>
      <c r="B50" s="207" t="s">
        <v>160</v>
      </c>
      <c r="C50" s="216" t="s">
        <v>28</v>
      </c>
      <c r="D50" s="209">
        <v>1</v>
      </c>
      <c r="E50" s="210"/>
      <c r="F50" s="211">
        <f>+D50*E50</f>
        <v>0</v>
      </c>
      <c r="G50" s="212"/>
    </row>
    <row r="51" spans="1:7" ht="57.6">
      <c r="A51" s="206" t="s">
        <v>191</v>
      </c>
      <c r="B51" s="207" t="s">
        <v>161</v>
      </c>
      <c r="C51" s="216" t="s">
        <v>28</v>
      </c>
      <c r="D51" s="13">
        <v>1</v>
      </c>
      <c r="E51" s="193"/>
      <c r="F51" s="211">
        <f>+D51*E51</f>
        <v>0</v>
      </c>
      <c r="G51" s="201"/>
    </row>
    <row r="52" spans="1:7">
      <c r="A52" s="206"/>
      <c r="B52" s="207"/>
      <c r="C52" s="208"/>
      <c r="D52" s="209"/>
      <c r="E52" s="210"/>
      <c r="F52" s="211"/>
      <c r="G52" s="212"/>
    </row>
    <row r="53" spans="1:7">
      <c r="A53" s="15">
        <v>9</v>
      </c>
      <c r="B53" s="295" t="s">
        <v>56</v>
      </c>
      <c r="C53" s="296"/>
      <c r="D53" s="296"/>
      <c r="E53" s="296"/>
      <c r="F53" s="297"/>
      <c r="G53" s="2">
        <f>+F55+F56</f>
        <v>0</v>
      </c>
    </row>
    <row r="54" spans="1:7">
      <c r="A54" s="205"/>
      <c r="B54" s="9"/>
      <c r="C54" s="10"/>
      <c r="D54" s="13"/>
      <c r="E54" s="193"/>
      <c r="F54" s="193"/>
      <c r="G54" s="201"/>
    </row>
    <row r="55" spans="1:7" ht="85.8">
      <c r="A55" s="205" t="s">
        <v>37</v>
      </c>
      <c r="B55" s="207" t="s">
        <v>163</v>
      </c>
      <c r="C55" s="10" t="s">
        <v>28</v>
      </c>
      <c r="D55" s="13">
        <v>1</v>
      </c>
      <c r="E55" s="193"/>
      <c r="F55" s="193">
        <f>+D55*E55</f>
        <v>0</v>
      </c>
      <c r="G55" s="201"/>
    </row>
    <row r="56" spans="1:7" ht="55.2">
      <c r="A56" s="205" t="s">
        <v>136</v>
      </c>
      <c r="B56" s="215" t="s">
        <v>103</v>
      </c>
      <c r="C56" s="10" t="s">
        <v>139</v>
      </c>
      <c r="D56" s="13">
        <f>1.8*0.6</f>
        <v>1.08</v>
      </c>
      <c r="E56" s="193"/>
      <c r="F56" s="193">
        <f>+D56*E56</f>
        <v>0</v>
      </c>
      <c r="G56" s="201"/>
    </row>
    <row r="57" spans="1:7">
      <c r="A57" s="206"/>
      <c r="B57" s="207"/>
      <c r="C57" s="208"/>
      <c r="D57" s="209"/>
      <c r="E57" s="210"/>
      <c r="F57" s="211"/>
      <c r="G57" s="212"/>
    </row>
    <row r="58" spans="1:7">
      <c r="A58" s="15">
        <v>10</v>
      </c>
      <c r="B58" s="295" t="s">
        <v>192</v>
      </c>
      <c r="C58" s="296"/>
      <c r="D58" s="296"/>
      <c r="E58" s="296"/>
      <c r="F58" s="297"/>
      <c r="G58" s="2">
        <f>+SUM(F60:F61)</f>
        <v>0</v>
      </c>
    </row>
    <row r="59" spans="1:7">
      <c r="A59" s="205"/>
      <c r="B59" s="9"/>
      <c r="C59" s="10"/>
      <c r="D59" s="13"/>
      <c r="E59" s="193"/>
      <c r="F59" s="193"/>
      <c r="G59" s="201"/>
    </row>
    <row r="60" spans="1:7" ht="41.4">
      <c r="A60" s="206" t="s">
        <v>44</v>
      </c>
      <c r="B60" s="207" t="s">
        <v>193</v>
      </c>
      <c r="C60" s="10" t="s">
        <v>77</v>
      </c>
      <c r="D60" s="13">
        <v>1</v>
      </c>
      <c r="E60" s="193"/>
      <c r="F60" s="193">
        <f>+D60*E60</f>
        <v>0</v>
      </c>
      <c r="G60" s="201"/>
    </row>
    <row r="61" spans="1:7" ht="41.4">
      <c r="A61" s="206" t="s">
        <v>83</v>
      </c>
      <c r="B61" s="207" t="s">
        <v>194</v>
      </c>
      <c r="C61" s="10" t="s">
        <v>77</v>
      </c>
      <c r="D61" s="13">
        <v>1</v>
      </c>
      <c r="E61" s="193"/>
      <c r="F61" s="193">
        <f>+D61*E61</f>
        <v>0</v>
      </c>
      <c r="G61" s="212"/>
    </row>
    <row r="62" spans="1:7">
      <c r="A62" s="206"/>
      <c r="B62" s="207"/>
      <c r="C62" s="208"/>
      <c r="D62" s="209"/>
      <c r="E62" s="210"/>
      <c r="F62" s="211"/>
      <c r="G62" s="212"/>
    </row>
    <row r="63" spans="1:7">
      <c r="A63" s="15">
        <v>11</v>
      </c>
      <c r="B63" s="295" t="s">
        <v>195</v>
      </c>
      <c r="C63" s="296"/>
      <c r="D63" s="296"/>
      <c r="E63" s="296"/>
      <c r="F63" s="297"/>
      <c r="G63" s="2">
        <f>+SUM(F65:F65)</f>
        <v>0</v>
      </c>
    </row>
    <row r="64" spans="1:7">
      <c r="A64" s="205"/>
      <c r="B64" s="9"/>
      <c r="C64" s="10"/>
      <c r="D64" s="13"/>
      <c r="E64" s="193"/>
      <c r="F64" s="193"/>
      <c r="G64" s="201"/>
    </row>
    <row r="65" spans="1:7" ht="55.2">
      <c r="A65" s="205" t="s">
        <v>45</v>
      </c>
      <c r="B65" s="9" t="s">
        <v>173</v>
      </c>
      <c r="C65" s="10" t="s">
        <v>77</v>
      </c>
      <c r="D65" s="13">
        <v>1</v>
      </c>
      <c r="E65" s="193"/>
      <c r="F65" s="193">
        <f>+D65*E65</f>
        <v>0</v>
      </c>
      <c r="G65" s="201"/>
    </row>
    <row r="66" spans="1:7" ht="15" thickBot="1">
      <c r="A66" s="205"/>
      <c r="B66" s="217"/>
      <c r="C66" s="10"/>
      <c r="D66" s="218"/>
      <c r="E66" s="193"/>
      <c r="F66" s="193"/>
      <c r="G66" s="201"/>
    </row>
    <row r="67" spans="1:7">
      <c r="A67" s="223"/>
      <c r="B67" s="287"/>
      <c r="C67" s="288"/>
      <c r="D67" s="288"/>
      <c r="E67" s="288"/>
      <c r="F67" s="289"/>
      <c r="G67" s="290">
        <f>SUM(G10:G66)</f>
        <v>0</v>
      </c>
    </row>
    <row r="68" spans="1:7" ht="15" thickBot="1">
      <c r="A68" s="224"/>
      <c r="B68" s="292" t="s">
        <v>34</v>
      </c>
      <c r="C68" s="293"/>
      <c r="D68" s="293"/>
      <c r="E68" s="293"/>
      <c r="F68" s="294"/>
      <c r="G68" s="291"/>
    </row>
  </sheetData>
  <mergeCells count="23">
    <mergeCell ref="B48:F48"/>
    <mergeCell ref="B53:F53"/>
    <mergeCell ref="B58:F58"/>
    <mergeCell ref="B67:F67"/>
    <mergeCell ref="G67:G68"/>
    <mergeCell ref="B68:F68"/>
    <mergeCell ref="B63:F63"/>
    <mergeCell ref="F4:G4"/>
    <mergeCell ref="F5:G5"/>
    <mergeCell ref="F7:G7"/>
    <mergeCell ref="A9:G9"/>
    <mergeCell ref="B10:F10"/>
    <mergeCell ref="A7:A8"/>
    <mergeCell ref="B7:B8"/>
    <mergeCell ref="C7:C8"/>
    <mergeCell ref="D7:D8"/>
    <mergeCell ref="E7:E8"/>
    <mergeCell ref="B44:F44"/>
    <mergeCell ref="B26:F26"/>
    <mergeCell ref="B31:F31"/>
    <mergeCell ref="B15:F15"/>
    <mergeCell ref="B21:F21"/>
    <mergeCell ref="B40:F40"/>
  </mergeCells>
  <phoneticPr fontId="2" type="noConversion"/>
  <pageMargins left="0.51181102362204722" right="0.51181102362204722" top="0.78740157480314965" bottom="0.59055118110236227" header="0.31496062992125984" footer="0.39370078740157483"/>
  <pageSetup paperSize="9" scale="90" orientation="portrait" r:id="rId1"/>
  <headerFooter>
    <oddHeader>&amp;L&amp;G</oddHeader>
    <oddFooter>&amp;R&amp;8&amp;K01+033&amp;P/&amp;N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view="pageBreakPreview" topLeftCell="A52" zoomScale="95" zoomScaleNormal="100" zoomScaleSheetLayoutView="95" workbookViewId="0">
      <selection activeCell="E26" sqref="E26:E27"/>
    </sheetView>
  </sheetViews>
  <sheetFormatPr defaultRowHeight="14.4"/>
  <cols>
    <col min="1" max="1" width="9.44140625" style="176" customWidth="1"/>
    <col min="2" max="2" width="40.5546875" style="177" customWidth="1"/>
    <col min="3" max="3" width="4.5546875" style="177" customWidth="1"/>
    <col min="4" max="4" width="6.5546875" style="177" customWidth="1"/>
    <col min="5" max="5" width="11.44140625" style="178" customWidth="1"/>
    <col min="6" max="6" width="13.5546875" style="178" customWidth="1"/>
    <col min="7" max="7" width="15.6640625" style="177" customWidth="1"/>
  </cols>
  <sheetData>
    <row r="1" spans="1:7" ht="8.1" customHeight="1"/>
    <row r="2" spans="1:7">
      <c r="A2" s="179" t="s">
        <v>0</v>
      </c>
      <c r="B2" s="179"/>
      <c r="C2" s="179"/>
      <c r="D2" s="179"/>
      <c r="E2" s="180"/>
      <c r="F2" s="181"/>
      <c r="G2" s="179"/>
    </row>
    <row r="3" spans="1:7">
      <c r="A3" s="182" t="s">
        <v>1</v>
      </c>
      <c r="B3" s="179" t="s">
        <v>46</v>
      </c>
      <c r="C3" s="182"/>
      <c r="E3" s="183"/>
      <c r="F3" s="183"/>
      <c r="G3" s="182"/>
    </row>
    <row r="4" spans="1:7">
      <c r="A4" s="182" t="s">
        <v>2</v>
      </c>
      <c r="B4" s="179"/>
      <c r="C4" s="182"/>
      <c r="D4" s="182"/>
      <c r="E4" s="180"/>
      <c r="F4" s="298"/>
      <c r="G4" s="298"/>
    </row>
    <row r="5" spans="1:7">
      <c r="A5" s="182" t="s">
        <v>3</v>
      </c>
      <c r="B5" s="179" t="s">
        <v>196</v>
      </c>
      <c r="C5" s="182"/>
      <c r="D5" s="182"/>
      <c r="E5" s="180"/>
      <c r="F5" s="298" t="s">
        <v>115</v>
      </c>
      <c r="G5" s="298"/>
    </row>
    <row r="6" spans="1:7" ht="15" thickBot="1">
      <c r="A6" s="182"/>
      <c r="B6" s="179"/>
      <c r="C6" s="182"/>
      <c r="D6" s="182"/>
      <c r="E6" s="184"/>
      <c r="F6" s="184"/>
      <c r="G6" s="182"/>
    </row>
    <row r="7" spans="1:7" ht="15" thickBot="1">
      <c r="A7" s="299" t="s">
        <v>4</v>
      </c>
      <c r="B7" s="299" t="s">
        <v>5</v>
      </c>
      <c r="C7" s="299" t="s">
        <v>6</v>
      </c>
      <c r="D7" s="301" t="s">
        <v>7</v>
      </c>
      <c r="E7" s="303" t="s">
        <v>8</v>
      </c>
      <c r="F7" s="305" t="s">
        <v>9</v>
      </c>
      <c r="G7" s="306"/>
    </row>
    <row r="8" spans="1:7" ht="15" thickBot="1">
      <c r="A8" s="300"/>
      <c r="B8" s="300" t="s">
        <v>10</v>
      </c>
      <c r="C8" s="300" t="s">
        <v>11</v>
      </c>
      <c r="D8" s="302" t="s">
        <v>12</v>
      </c>
      <c r="E8" s="304"/>
      <c r="F8" s="185" t="s">
        <v>13</v>
      </c>
      <c r="G8" s="186" t="s">
        <v>14</v>
      </c>
    </row>
    <row r="9" spans="1:7" ht="12" customHeight="1">
      <c r="A9" s="307"/>
      <c r="B9" s="308"/>
      <c r="C9" s="308"/>
      <c r="D9" s="308"/>
      <c r="E9" s="308"/>
      <c r="F9" s="308"/>
      <c r="G9" s="309"/>
    </row>
    <row r="10" spans="1:7">
      <c r="A10" s="15">
        <v>1</v>
      </c>
      <c r="B10" s="295" t="s">
        <v>15</v>
      </c>
      <c r="C10" s="296"/>
      <c r="D10" s="296"/>
      <c r="E10" s="296"/>
      <c r="F10" s="297"/>
      <c r="G10" s="2">
        <f>+SUM(F12:F12)</f>
        <v>0</v>
      </c>
    </row>
    <row r="11" spans="1:7" ht="6.9" customHeight="1">
      <c r="A11" s="187"/>
      <c r="B11" s="188"/>
      <c r="C11" s="188"/>
      <c r="D11" s="188"/>
      <c r="E11" s="189"/>
      <c r="F11" s="189"/>
      <c r="G11" s="190"/>
    </row>
    <row r="12" spans="1:7" ht="55.2">
      <c r="A12" s="191" t="s">
        <v>16</v>
      </c>
      <c r="B12" s="192" t="s">
        <v>138</v>
      </c>
      <c r="C12" s="10" t="s">
        <v>139</v>
      </c>
      <c r="D12" s="13">
        <v>56.48</v>
      </c>
      <c r="E12" s="193"/>
      <c r="F12" s="193">
        <f>D12*E12</f>
        <v>0</v>
      </c>
      <c r="G12" s="194"/>
    </row>
    <row r="13" spans="1:7">
      <c r="A13" s="191"/>
      <c r="B13" s="192"/>
      <c r="C13" s="10"/>
      <c r="D13" s="13"/>
      <c r="E13" s="193"/>
      <c r="F13" s="193"/>
      <c r="G13" s="194"/>
    </row>
    <row r="14" spans="1:7">
      <c r="A14" s="15">
        <v>2</v>
      </c>
      <c r="B14" s="295" t="s">
        <v>179</v>
      </c>
      <c r="C14" s="296"/>
      <c r="D14" s="296"/>
      <c r="E14" s="296"/>
      <c r="F14" s="297"/>
      <c r="G14" s="2">
        <f>SUM(F17:F18)</f>
        <v>0</v>
      </c>
    </row>
    <row r="15" spans="1:7">
      <c r="A15" s="187"/>
      <c r="B15" s="188"/>
      <c r="C15" s="188"/>
      <c r="D15" s="188"/>
      <c r="E15" s="189"/>
      <c r="F15" s="189"/>
      <c r="G15" s="190"/>
    </row>
    <row r="16" spans="1:7" ht="96.6">
      <c r="A16" s="191" t="s">
        <v>18</v>
      </c>
      <c r="B16" s="199" t="s">
        <v>19</v>
      </c>
      <c r="C16" s="200"/>
      <c r="D16" s="13"/>
      <c r="E16" s="193"/>
      <c r="F16" s="193"/>
      <c r="G16" s="201"/>
    </row>
    <row r="17" spans="1:7" ht="16.8">
      <c r="A17" s="191" t="s">
        <v>47</v>
      </c>
      <c r="B17" s="199" t="s">
        <v>22</v>
      </c>
      <c r="C17" s="10" t="s">
        <v>141</v>
      </c>
      <c r="D17" s="193">
        <f>38*0.2*0.4</f>
        <v>3.0400000000000005</v>
      </c>
      <c r="E17" s="193"/>
      <c r="F17" s="193">
        <f t="shared" ref="F17:F18" si="0">D17*E17</f>
        <v>0</v>
      </c>
      <c r="G17" s="201"/>
    </row>
    <row r="18" spans="1:7" ht="16.8">
      <c r="A18" s="191" t="s">
        <v>48</v>
      </c>
      <c r="B18" s="199" t="s">
        <v>23</v>
      </c>
      <c r="C18" s="10" t="s">
        <v>141</v>
      </c>
      <c r="D18" s="13">
        <f>50.33*0.15</f>
        <v>7.5494999999999992</v>
      </c>
      <c r="E18" s="193"/>
      <c r="F18" s="193">
        <f t="shared" si="0"/>
        <v>0</v>
      </c>
      <c r="G18" s="201"/>
    </row>
    <row r="19" spans="1:7" ht="6.9" customHeight="1">
      <c r="A19" s="195"/>
      <c r="B19" s="202"/>
      <c r="C19" s="202"/>
      <c r="D19" s="202"/>
      <c r="E19" s="203"/>
      <c r="F19" s="203"/>
      <c r="G19" s="204"/>
    </row>
    <row r="20" spans="1:7">
      <c r="A20" s="15">
        <v>3</v>
      </c>
      <c r="B20" s="295" t="s">
        <v>180</v>
      </c>
      <c r="C20" s="296"/>
      <c r="D20" s="296"/>
      <c r="E20" s="296"/>
      <c r="F20" s="297"/>
      <c r="G20" s="2">
        <f>+SUM(F22:F22)</f>
        <v>0</v>
      </c>
    </row>
    <row r="21" spans="1:7">
      <c r="A21" s="226"/>
      <c r="B21" s="227"/>
      <c r="C21" s="228"/>
      <c r="D21" s="228"/>
      <c r="E21" s="229"/>
      <c r="F21" s="230"/>
      <c r="G21" s="231"/>
    </row>
    <row r="22" spans="1:7" ht="82.8">
      <c r="A22" s="213" t="s">
        <v>24</v>
      </c>
      <c r="B22" s="225" t="s">
        <v>197</v>
      </c>
      <c r="C22" s="213" t="s">
        <v>139</v>
      </c>
      <c r="D22" s="213" t="s">
        <v>198</v>
      </c>
      <c r="E22" s="193"/>
      <c r="F22" s="193">
        <f>+D22*E22</f>
        <v>0</v>
      </c>
      <c r="G22" s="231"/>
    </row>
    <row r="23" spans="1:7" ht="6.9" customHeight="1">
      <c r="A23" s="226"/>
      <c r="B23" s="227"/>
      <c r="C23" s="228"/>
      <c r="D23" s="228"/>
      <c r="E23" s="229"/>
      <c r="F23" s="230"/>
      <c r="G23" s="231"/>
    </row>
    <row r="24" spans="1:7">
      <c r="A24" s="15">
        <v>4</v>
      </c>
      <c r="B24" s="295" t="s">
        <v>183</v>
      </c>
      <c r="C24" s="296"/>
      <c r="D24" s="296"/>
      <c r="E24" s="296"/>
      <c r="F24" s="297"/>
      <c r="G24" s="2">
        <f>SUM(F26:F27)</f>
        <v>0</v>
      </c>
    </row>
    <row r="25" spans="1:7">
      <c r="A25" s="205"/>
      <c r="B25" s="9"/>
      <c r="C25" s="10"/>
      <c r="D25" s="13"/>
      <c r="E25" s="193"/>
      <c r="F25" s="193"/>
      <c r="G25" s="201"/>
    </row>
    <row r="26" spans="1:7" ht="82.8">
      <c r="A26" s="205" t="s">
        <v>26</v>
      </c>
      <c r="B26" s="9" t="s">
        <v>35</v>
      </c>
      <c r="C26" s="10" t="s">
        <v>139</v>
      </c>
      <c r="D26" s="13">
        <f>35.53*3</f>
        <v>106.59</v>
      </c>
      <c r="E26" s="193"/>
      <c r="F26" s="193">
        <f>+D26*E26</f>
        <v>0</v>
      </c>
      <c r="G26" s="201"/>
    </row>
    <row r="27" spans="1:7" ht="41.4">
      <c r="A27" s="205" t="s">
        <v>129</v>
      </c>
      <c r="B27" s="207" t="s">
        <v>199</v>
      </c>
      <c r="C27" s="10" t="s">
        <v>139</v>
      </c>
      <c r="D27" s="13">
        <f>(11.2+11.2)*3-(0.9*2.1*3+1.26*1*2+1.51*1*2)</f>
        <v>55.989999999999988</v>
      </c>
      <c r="E27" s="193"/>
      <c r="F27" s="193">
        <f>+D27*E27</f>
        <v>0</v>
      </c>
      <c r="G27" s="201"/>
    </row>
    <row r="28" spans="1:7">
      <c r="A28" s="205"/>
      <c r="B28" s="9"/>
      <c r="C28" s="10"/>
      <c r="D28" s="13"/>
      <c r="E28" s="193"/>
      <c r="F28" s="193"/>
      <c r="G28" s="201"/>
    </row>
    <row r="29" spans="1:7">
      <c r="A29" s="15">
        <v>5</v>
      </c>
      <c r="B29" s="295" t="s">
        <v>184</v>
      </c>
      <c r="C29" s="296"/>
      <c r="D29" s="296"/>
      <c r="E29" s="296"/>
      <c r="F29" s="297"/>
      <c r="G29" s="2">
        <f>+SUM(F32:F33)</f>
        <v>0</v>
      </c>
    </row>
    <row r="30" spans="1:7" ht="6.9" customHeight="1">
      <c r="A30" s="205"/>
      <c r="B30" s="9"/>
      <c r="C30" s="213"/>
      <c r="D30" s="13"/>
      <c r="E30" s="193"/>
      <c r="F30" s="193"/>
      <c r="G30" s="201"/>
    </row>
    <row r="31" spans="1:7">
      <c r="A31" s="205" t="s">
        <v>27</v>
      </c>
      <c r="B31" s="214" t="s">
        <v>29</v>
      </c>
      <c r="C31" s="213"/>
      <c r="D31" s="13"/>
      <c r="E31" s="193"/>
      <c r="F31" s="193"/>
      <c r="G31" s="201"/>
    </row>
    <row r="32" spans="1:7" ht="69">
      <c r="A32" s="205" t="s">
        <v>185</v>
      </c>
      <c r="B32" s="9" t="s">
        <v>30</v>
      </c>
      <c r="C32" s="10" t="s">
        <v>149</v>
      </c>
      <c r="D32" s="13">
        <v>1</v>
      </c>
      <c r="E32" s="193"/>
      <c r="F32" s="193">
        <f>+D32*E32</f>
        <v>0</v>
      </c>
      <c r="G32" s="201"/>
    </row>
    <row r="33" spans="1:7" ht="55.2">
      <c r="A33" s="205" t="s">
        <v>186</v>
      </c>
      <c r="B33" s="215" t="s">
        <v>103</v>
      </c>
      <c r="C33" s="10" t="s">
        <v>139</v>
      </c>
      <c r="D33" s="209">
        <f>+(0.8+1.92)*2.1</f>
        <v>5.7119999999999997</v>
      </c>
      <c r="E33" s="210"/>
      <c r="F33" s="193">
        <f>+D33*E33</f>
        <v>0</v>
      </c>
      <c r="G33" s="212"/>
    </row>
    <row r="34" spans="1:7">
      <c r="A34" s="206"/>
      <c r="B34" s="207"/>
      <c r="C34" s="208"/>
      <c r="D34" s="209"/>
      <c r="E34" s="210"/>
      <c r="F34" s="211"/>
      <c r="G34" s="212"/>
    </row>
    <row r="35" spans="1:7">
      <c r="A35" s="15">
        <v>6</v>
      </c>
      <c r="B35" s="295" t="s">
        <v>53</v>
      </c>
      <c r="C35" s="296"/>
      <c r="D35" s="296"/>
      <c r="E35" s="296"/>
      <c r="F35" s="297"/>
      <c r="G35" s="2">
        <f>+SUM(F37)</f>
        <v>0</v>
      </c>
    </row>
    <row r="36" spans="1:7" ht="6.9" customHeight="1">
      <c r="A36" s="205"/>
      <c r="B36" s="9"/>
      <c r="C36" s="213"/>
      <c r="D36" s="13"/>
      <c r="E36" s="193"/>
      <c r="F36" s="193"/>
      <c r="G36" s="201"/>
    </row>
    <row r="37" spans="1:7" ht="55.2">
      <c r="A37" s="205" t="s">
        <v>32</v>
      </c>
      <c r="B37" s="9" t="s">
        <v>156</v>
      </c>
      <c r="C37" s="10" t="s">
        <v>28</v>
      </c>
      <c r="D37" s="13">
        <v>1</v>
      </c>
      <c r="E37" s="193"/>
      <c r="F37" s="193">
        <f>D37*E37</f>
        <v>0</v>
      </c>
      <c r="G37" s="201"/>
    </row>
    <row r="38" spans="1:7">
      <c r="A38" s="205"/>
      <c r="B38" s="9"/>
      <c r="C38" s="10"/>
      <c r="D38" s="13"/>
      <c r="E38" s="193"/>
      <c r="F38" s="193"/>
      <c r="G38" s="201"/>
    </row>
    <row r="39" spans="1:7">
      <c r="A39" s="15">
        <v>7</v>
      </c>
      <c r="B39" s="295" t="s">
        <v>54</v>
      </c>
      <c r="C39" s="296"/>
      <c r="D39" s="296"/>
      <c r="E39" s="296"/>
      <c r="F39" s="297"/>
      <c r="G39" s="2">
        <f>SUM(F41:F42)</f>
        <v>0</v>
      </c>
    </row>
    <row r="40" spans="1:7">
      <c r="A40" s="206"/>
      <c r="B40" s="207"/>
      <c r="C40" s="216"/>
      <c r="D40" s="209"/>
      <c r="E40" s="210"/>
      <c r="F40" s="211"/>
      <c r="G40" s="212"/>
    </row>
    <row r="41" spans="1:7" ht="55.2">
      <c r="A41" s="206" t="s">
        <v>33</v>
      </c>
      <c r="B41" s="9" t="s">
        <v>200</v>
      </c>
      <c r="C41" s="216" t="s">
        <v>28</v>
      </c>
      <c r="D41" s="209">
        <v>1</v>
      </c>
      <c r="E41" s="210"/>
      <c r="F41" s="211">
        <f>+D41*E41</f>
        <v>0</v>
      </c>
      <c r="G41" s="212"/>
    </row>
    <row r="42" spans="1:7" ht="55.2">
      <c r="A42" s="206" t="s">
        <v>70</v>
      </c>
      <c r="B42" s="9" t="s">
        <v>201</v>
      </c>
      <c r="C42" s="216" t="s">
        <v>28</v>
      </c>
      <c r="D42" s="209">
        <v>1</v>
      </c>
      <c r="E42" s="210"/>
      <c r="F42" s="211">
        <f>+D42*E42</f>
        <v>0</v>
      </c>
      <c r="G42" s="212"/>
    </row>
    <row r="43" spans="1:7">
      <c r="A43" s="205"/>
      <c r="B43" s="9"/>
      <c r="C43" s="10"/>
      <c r="D43" s="13"/>
      <c r="E43" s="193"/>
      <c r="F43" s="193"/>
      <c r="G43" s="201"/>
    </row>
    <row r="44" spans="1:7">
      <c r="A44" s="15">
        <v>8</v>
      </c>
      <c r="B44" s="295" t="s">
        <v>55</v>
      </c>
      <c r="C44" s="296"/>
      <c r="D44" s="296"/>
      <c r="E44" s="296"/>
      <c r="F44" s="297"/>
      <c r="G44" s="2">
        <f>SUM(F46:F46)</f>
        <v>0</v>
      </c>
    </row>
    <row r="45" spans="1:7">
      <c r="A45" s="206"/>
      <c r="B45" s="207"/>
      <c r="C45" s="216"/>
      <c r="D45" s="209"/>
      <c r="E45" s="210"/>
      <c r="F45" s="211"/>
      <c r="G45" s="212"/>
    </row>
    <row r="46" spans="1:7" ht="69">
      <c r="A46" s="206" t="s">
        <v>36</v>
      </c>
      <c r="B46" s="207" t="s">
        <v>160</v>
      </c>
      <c r="C46" s="216" t="s">
        <v>28</v>
      </c>
      <c r="D46" s="209">
        <v>1</v>
      </c>
      <c r="E46" s="210"/>
      <c r="F46" s="211">
        <f>+D46*E46</f>
        <v>0</v>
      </c>
      <c r="G46" s="212"/>
    </row>
    <row r="47" spans="1:7">
      <c r="A47" s="205"/>
      <c r="B47" s="9"/>
      <c r="C47" s="10"/>
      <c r="D47" s="13"/>
      <c r="E47" s="193"/>
      <c r="F47" s="193"/>
      <c r="G47" s="201"/>
    </row>
    <row r="48" spans="1:7">
      <c r="A48" s="15">
        <v>9</v>
      </c>
      <c r="B48" s="295" t="s">
        <v>56</v>
      </c>
      <c r="C48" s="296"/>
      <c r="D48" s="296"/>
      <c r="E48" s="296"/>
      <c r="F48" s="297"/>
      <c r="G48" s="2">
        <f>SUM(F50:F51)</f>
        <v>0</v>
      </c>
    </row>
    <row r="49" spans="1:7">
      <c r="A49" s="205"/>
      <c r="B49" s="9"/>
      <c r="C49" s="10"/>
      <c r="D49" s="13"/>
      <c r="E49" s="193"/>
      <c r="F49" s="193"/>
      <c r="G49" s="201"/>
    </row>
    <row r="50" spans="1:7" ht="82.8">
      <c r="A50" s="205" t="s">
        <v>37</v>
      </c>
      <c r="B50" s="207" t="s">
        <v>202</v>
      </c>
      <c r="C50" s="10" t="s">
        <v>28</v>
      </c>
      <c r="D50" s="13">
        <v>1</v>
      </c>
      <c r="E50" s="193"/>
      <c r="F50" s="193">
        <f>+D50*E50</f>
        <v>0</v>
      </c>
      <c r="G50" s="201"/>
    </row>
    <row r="51" spans="1:7" ht="55.2">
      <c r="A51" s="205" t="s">
        <v>136</v>
      </c>
      <c r="B51" s="215" t="s">
        <v>103</v>
      </c>
      <c r="C51" s="10" t="s">
        <v>139</v>
      </c>
      <c r="D51" s="13">
        <f>1.8*0.6</f>
        <v>1.08</v>
      </c>
      <c r="E51" s="193"/>
      <c r="F51" s="193">
        <f>+D51*E51</f>
        <v>0</v>
      </c>
      <c r="G51" s="201"/>
    </row>
    <row r="52" spans="1:7">
      <c r="A52" s="206"/>
      <c r="B52" s="207"/>
      <c r="C52" s="208"/>
      <c r="D52" s="209"/>
      <c r="E52" s="210"/>
      <c r="F52" s="211"/>
      <c r="G52" s="212"/>
    </row>
    <row r="53" spans="1:7">
      <c r="A53" s="15">
        <v>10</v>
      </c>
      <c r="B53" s="295" t="s">
        <v>57</v>
      </c>
      <c r="C53" s="296"/>
      <c r="D53" s="296"/>
      <c r="E53" s="296"/>
      <c r="F53" s="297"/>
      <c r="G53" s="2">
        <f>+SUM(F55)</f>
        <v>0</v>
      </c>
    </row>
    <row r="54" spans="1:7">
      <c r="A54" s="205"/>
      <c r="B54" s="9"/>
      <c r="C54" s="10"/>
      <c r="D54" s="13"/>
      <c r="E54" s="193"/>
      <c r="F54" s="193"/>
      <c r="G54" s="201"/>
    </row>
    <row r="55" spans="1:7" ht="55.2">
      <c r="A55" s="206" t="s">
        <v>44</v>
      </c>
      <c r="B55" s="207" t="s">
        <v>203</v>
      </c>
      <c r="C55" s="10" t="s">
        <v>28</v>
      </c>
      <c r="D55" s="13">
        <v>1</v>
      </c>
      <c r="E55" s="10"/>
      <c r="F55" s="193">
        <f>+D55*E55</f>
        <v>0</v>
      </c>
      <c r="G55" s="201"/>
    </row>
    <row r="56" spans="1:7">
      <c r="A56" s="206"/>
      <c r="B56" s="207"/>
      <c r="C56" s="208"/>
      <c r="D56" s="209"/>
      <c r="E56" s="208"/>
      <c r="F56" s="211"/>
      <c r="G56" s="232"/>
    </row>
    <row r="57" spans="1:7">
      <c r="A57" s="15">
        <v>11</v>
      </c>
      <c r="B57" s="295" t="s">
        <v>60</v>
      </c>
      <c r="C57" s="296"/>
      <c r="D57" s="296"/>
      <c r="E57" s="296"/>
      <c r="F57" s="297"/>
      <c r="G57" s="2">
        <f>SUM(F59:F60)</f>
        <v>0</v>
      </c>
    </row>
    <row r="58" spans="1:7">
      <c r="A58" s="3"/>
      <c r="B58" s="4"/>
      <c r="C58" s="5"/>
      <c r="D58" s="14"/>
      <c r="E58" s="6"/>
      <c r="F58" s="6"/>
      <c r="G58" s="7"/>
    </row>
    <row r="59" spans="1:7" ht="27.6">
      <c r="A59" s="8" t="s">
        <v>45</v>
      </c>
      <c r="B59" s="9" t="s">
        <v>204</v>
      </c>
      <c r="C59" s="10" t="s">
        <v>149</v>
      </c>
      <c r="D59" s="13">
        <v>1</v>
      </c>
      <c r="E59" s="11"/>
      <c r="F59" s="11">
        <f>D59*E59</f>
        <v>0</v>
      </c>
      <c r="G59" s="12"/>
    </row>
    <row r="60" spans="1:7" ht="41.4">
      <c r="A60" s="8" t="s">
        <v>61</v>
      </c>
      <c r="B60" s="9" t="s">
        <v>205</v>
      </c>
      <c r="C60" s="10" t="s">
        <v>149</v>
      </c>
      <c r="D60" s="13">
        <v>2</v>
      </c>
      <c r="E60" s="11"/>
      <c r="F60" s="11">
        <f>D60*E60</f>
        <v>0</v>
      </c>
      <c r="G60" s="12"/>
    </row>
    <row r="61" spans="1:7" ht="15" thickBot="1">
      <c r="A61" s="206"/>
      <c r="B61" s="207"/>
      <c r="C61" s="208"/>
      <c r="D61" s="209"/>
      <c r="E61" s="210"/>
      <c r="F61" s="211"/>
      <c r="G61" s="210"/>
    </row>
    <row r="62" spans="1:7">
      <c r="A62" s="223"/>
      <c r="B62" s="287"/>
      <c r="C62" s="288"/>
      <c r="D62" s="288"/>
      <c r="E62" s="288"/>
      <c r="F62" s="289"/>
      <c r="G62" s="290">
        <f>SUM(G10:G61)</f>
        <v>0</v>
      </c>
    </row>
    <row r="63" spans="1:7" ht="15" thickBot="1">
      <c r="A63" s="224"/>
      <c r="B63" s="292" t="s">
        <v>34</v>
      </c>
      <c r="C63" s="293"/>
      <c r="D63" s="293"/>
      <c r="E63" s="293"/>
      <c r="F63" s="294"/>
      <c r="G63" s="291"/>
    </row>
  </sheetData>
  <mergeCells count="23">
    <mergeCell ref="B57:F57"/>
    <mergeCell ref="B62:F62"/>
    <mergeCell ref="G62:G63"/>
    <mergeCell ref="B63:F63"/>
    <mergeCell ref="B24:F24"/>
    <mergeCell ref="B29:F29"/>
    <mergeCell ref="B35:F35"/>
    <mergeCell ref="B39:F39"/>
    <mergeCell ref="B44:F44"/>
    <mergeCell ref="B48:F48"/>
    <mergeCell ref="B53:F53"/>
    <mergeCell ref="F4:G4"/>
    <mergeCell ref="F5:G5"/>
    <mergeCell ref="F7:G7"/>
    <mergeCell ref="A9:G9"/>
    <mergeCell ref="B10:F10"/>
    <mergeCell ref="B14:F14"/>
    <mergeCell ref="B20:F20"/>
    <mergeCell ref="A7:A8"/>
    <mergeCell ref="B7:B8"/>
    <mergeCell ref="C7:C8"/>
    <mergeCell ref="D7:D8"/>
    <mergeCell ref="E7:E8"/>
  </mergeCells>
  <pageMargins left="0.51181102362204722" right="0.51181102362204722" top="0.78740157480314965" bottom="0.59055118110236227" header="0.31496062992125984" footer="0.39370078740157483"/>
  <pageSetup paperSize="9" scale="86" orientation="portrait" r:id="rId1"/>
  <headerFooter>
    <oddHeader>&amp;L&amp;G</oddHeader>
    <oddFooter>&amp;R&amp;8&amp;K01+033&amp;P/&amp;N</oddFooter>
  </headerFooter>
  <rowBreaks count="1" manualBreakCount="1">
    <brk id="32" max="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82" workbookViewId="0">
      <selection activeCell="E59" sqref="E59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9.109375" customWidth="1"/>
  </cols>
  <sheetData>
    <row r="1" spans="1:7">
      <c r="A1" s="16" t="s">
        <v>1</v>
      </c>
      <c r="B1" s="335" t="s">
        <v>46</v>
      </c>
      <c r="C1" s="335"/>
      <c r="D1" s="335"/>
      <c r="E1" s="335"/>
      <c r="F1" s="17"/>
      <c r="G1" s="18"/>
    </row>
    <row r="2" spans="1:7">
      <c r="A2" s="16" t="s">
        <v>2</v>
      </c>
      <c r="B2" s="19"/>
      <c r="C2" s="18"/>
      <c r="D2" s="18"/>
      <c r="E2" s="20"/>
      <c r="F2" s="324"/>
      <c r="G2" s="324"/>
    </row>
    <row r="3" spans="1:7">
      <c r="A3" s="16" t="s">
        <v>3</v>
      </c>
      <c r="B3" s="335" t="s">
        <v>206</v>
      </c>
      <c r="C3" s="335"/>
      <c r="D3" s="335"/>
      <c r="E3" s="335"/>
      <c r="F3" s="324" t="s">
        <v>115</v>
      </c>
      <c r="G3" s="324"/>
    </row>
    <row r="4" spans="1:7" ht="15" thickBot="1">
      <c r="A4" s="18"/>
      <c r="B4" s="19"/>
      <c r="C4" s="18"/>
      <c r="D4" s="18"/>
      <c r="E4" s="21"/>
      <c r="F4" s="21"/>
      <c r="G4" s="18"/>
    </row>
    <row r="5" spans="1:7" ht="15" thickBot="1">
      <c r="A5" s="336" t="s">
        <v>4</v>
      </c>
      <c r="B5" s="336" t="s">
        <v>5</v>
      </c>
      <c r="C5" s="336" t="s">
        <v>6</v>
      </c>
      <c r="D5" s="340" t="s">
        <v>7</v>
      </c>
      <c r="E5" s="341" t="s">
        <v>8</v>
      </c>
      <c r="F5" s="336" t="s">
        <v>9</v>
      </c>
      <c r="G5" s="336"/>
    </row>
    <row r="6" spans="1:7" ht="15" thickBot="1">
      <c r="A6" s="336"/>
      <c r="B6" s="336" t="s">
        <v>10</v>
      </c>
      <c r="C6" s="336" t="s">
        <v>11</v>
      </c>
      <c r="D6" s="340" t="s">
        <v>12</v>
      </c>
      <c r="E6" s="341"/>
      <c r="F6" s="22" t="s">
        <v>13</v>
      </c>
      <c r="G6" s="23" t="s">
        <v>14</v>
      </c>
    </row>
    <row r="7" spans="1:7" ht="15" thickBot="1">
      <c r="A7" s="336"/>
      <c r="B7" s="336"/>
      <c r="C7" s="336"/>
      <c r="D7" s="336"/>
      <c r="E7" s="336"/>
      <c r="F7" s="336"/>
      <c r="G7" s="336"/>
    </row>
    <row r="8" spans="1:7" ht="15" thickBot="1">
      <c r="A8" s="24">
        <v>1</v>
      </c>
      <c r="B8" s="334" t="s">
        <v>15</v>
      </c>
      <c r="C8" s="334"/>
      <c r="D8" s="334"/>
      <c r="E8" s="334"/>
      <c r="F8" s="334"/>
      <c r="G8" s="25">
        <f>F10+F11+F12+F13</f>
        <v>0</v>
      </c>
    </row>
    <row r="9" spans="1:7">
      <c r="A9" s="26"/>
      <c r="B9" s="19"/>
      <c r="C9" s="19"/>
      <c r="D9" s="19"/>
      <c r="E9" s="27"/>
      <c r="F9" s="27"/>
      <c r="G9" s="28"/>
    </row>
    <row r="10" spans="1:7" ht="55.2">
      <c r="A10" s="29" t="s">
        <v>16</v>
      </c>
      <c r="B10" s="30" t="s">
        <v>207</v>
      </c>
      <c r="C10" s="31" t="s">
        <v>71</v>
      </c>
      <c r="D10" s="32">
        <f>33.22</f>
        <v>33.22</v>
      </c>
      <c r="E10" s="33"/>
      <c r="F10" s="33">
        <f t="shared" ref="F10:F12" si="0">D10*E10</f>
        <v>0</v>
      </c>
      <c r="G10" s="34"/>
    </row>
    <row r="11" spans="1:7" ht="55.2">
      <c r="A11" s="29" t="s">
        <v>17</v>
      </c>
      <c r="B11" s="30" t="s">
        <v>72</v>
      </c>
      <c r="C11" s="31" t="s">
        <v>71</v>
      </c>
      <c r="D11" s="32">
        <f>(0.1*0.1+0.1*0.1+0.1*0.1)</f>
        <v>3.0000000000000006E-2</v>
      </c>
      <c r="E11" s="33"/>
      <c r="F11" s="33">
        <f t="shared" si="0"/>
        <v>0</v>
      </c>
      <c r="G11" s="34"/>
    </row>
    <row r="12" spans="1:7" ht="55.2">
      <c r="A12" s="29" t="s">
        <v>73</v>
      </c>
      <c r="B12" s="30" t="s">
        <v>208</v>
      </c>
      <c r="C12" s="31" t="s">
        <v>71</v>
      </c>
      <c r="D12" s="32">
        <f>4.74</f>
        <v>4.74</v>
      </c>
      <c r="E12" s="33"/>
      <c r="F12" s="33">
        <f t="shared" si="0"/>
        <v>0</v>
      </c>
      <c r="G12" s="34"/>
    </row>
    <row r="13" spans="1:7" ht="55.2">
      <c r="A13" s="29" t="s">
        <v>209</v>
      </c>
      <c r="B13" s="30" t="s">
        <v>210</v>
      </c>
      <c r="C13" s="31" t="s">
        <v>74</v>
      </c>
      <c r="D13" s="32">
        <f>0.15*(25.35)</f>
        <v>3.8025000000000002</v>
      </c>
      <c r="E13" s="33"/>
      <c r="F13" s="33">
        <f>D13*E13</f>
        <v>0</v>
      </c>
      <c r="G13" s="34"/>
    </row>
    <row r="14" spans="1:7" ht="15" thickBot="1">
      <c r="A14" s="35"/>
      <c r="B14" s="36"/>
      <c r="C14" s="36"/>
      <c r="D14" s="36"/>
      <c r="E14" s="37"/>
      <c r="F14" s="37"/>
      <c r="G14" s="38"/>
    </row>
    <row r="15" spans="1:7" ht="15" thickBot="1">
      <c r="A15" s="24">
        <v>2</v>
      </c>
      <c r="B15" s="337" t="s">
        <v>38</v>
      </c>
      <c r="C15" s="338"/>
      <c r="D15" s="338"/>
      <c r="E15" s="338"/>
      <c r="F15" s="339"/>
      <c r="G15" s="25">
        <f>F17</f>
        <v>0</v>
      </c>
    </row>
    <row r="16" spans="1:7">
      <c r="A16" s="39"/>
      <c r="B16" s="40"/>
      <c r="C16" s="41"/>
      <c r="D16" s="42"/>
      <c r="E16" s="43"/>
      <c r="F16" s="43"/>
      <c r="G16" s="44"/>
    </row>
    <row r="17" spans="1:7" ht="55.2">
      <c r="A17" s="45" t="s">
        <v>18</v>
      </c>
      <c r="B17" s="46" t="s">
        <v>75</v>
      </c>
      <c r="C17" s="47" t="s">
        <v>74</v>
      </c>
      <c r="D17" s="48">
        <f>0.8*0.8*0.4*14</f>
        <v>3.584000000000001</v>
      </c>
      <c r="E17" s="49"/>
      <c r="F17" s="49">
        <f>D17*E17</f>
        <v>0</v>
      </c>
      <c r="G17" s="50"/>
    </row>
    <row r="18" spans="1:7" ht="15" thickBot="1">
      <c r="A18" s="51"/>
      <c r="B18" s="52"/>
      <c r="C18" s="53"/>
      <c r="D18" s="54"/>
      <c r="E18" s="55"/>
      <c r="F18" s="55"/>
      <c r="G18" s="56"/>
    </row>
    <row r="19" spans="1:7" ht="15" thickBot="1">
      <c r="A19" s="24">
        <v>3</v>
      </c>
      <c r="B19" s="337" t="s">
        <v>39</v>
      </c>
      <c r="C19" s="338"/>
      <c r="D19" s="338"/>
      <c r="E19" s="338"/>
      <c r="F19" s="339"/>
      <c r="G19" s="25">
        <f>F21+F23+F24+F25+F26</f>
        <v>0</v>
      </c>
    </row>
    <row r="20" spans="1:7">
      <c r="A20" s="39"/>
      <c r="B20" s="40"/>
      <c r="C20" s="41"/>
      <c r="D20" s="42"/>
      <c r="E20" s="43"/>
      <c r="F20" s="43"/>
      <c r="G20" s="44"/>
    </row>
    <row r="21" spans="1:7" ht="41.4">
      <c r="A21" s="57" t="s">
        <v>24</v>
      </c>
      <c r="B21" s="233" t="s">
        <v>211</v>
      </c>
      <c r="C21" s="47" t="s">
        <v>71</v>
      </c>
      <c r="D21" s="47">
        <f>0.6*0.6*14</f>
        <v>5.04</v>
      </c>
      <c r="E21" s="59"/>
      <c r="F21" s="60">
        <f>D21*E21</f>
        <v>0</v>
      </c>
      <c r="G21" s="61"/>
    </row>
    <row r="22" spans="1:7" ht="96.6">
      <c r="A22" s="62" t="s">
        <v>25</v>
      </c>
      <c r="B22" s="63" t="s">
        <v>19</v>
      </c>
      <c r="C22" s="64"/>
      <c r="D22" s="32"/>
      <c r="E22" s="33"/>
      <c r="F22" s="33"/>
      <c r="G22" s="65"/>
    </row>
    <row r="23" spans="1:7" ht="15">
      <c r="A23" s="66" t="s">
        <v>40</v>
      </c>
      <c r="B23" s="63" t="s">
        <v>20</v>
      </c>
      <c r="C23" s="31" t="s">
        <v>74</v>
      </c>
      <c r="D23" s="32">
        <f>0.5*0.5*0.4*14</f>
        <v>1.4000000000000001</v>
      </c>
      <c r="E23" s="33"/>
      <c r="F23" s="33">
        <f>D23*E23</f>
        <v>0</v>
      </c>
      <c r="G23" s="65"/>
    </row>
    <row r="24" spans="1:7" ht="15">
      <c r="A24" s="66" t="s">
        <v>41</v>
      </c>
      <c r="B24" s="63" t="s">
        <v>21</v>
      </c>
      <c r="C24" s="31" t="s">
        <v>74</v>
      </c>
      <c r="D24" s="32">
        <f>0.2*0.2*3*14</f>
        <v>1.6800000000000004</v>
      </c>
      <c r="E24" s="33"/>
      <c r="F24" s="33">
        <f>D24*E24</f>
        <v>0</v>
      </c>
      <c r="G24" s="65"/>
    </row>
    <row r="25" spans="1:7" ht="15">
      <c r="A25" s="66" t="s">
        <v>42</v>
      </c>
      <c r="B25" s="63" t="s">
        <v>22</v>
      </c>
      <c r="C25" s="31" t="s">
        <v>74</v>
      </c>
      <c r="D25" s="32">
        <f>0.2*0.4*(1.5+1.36+1.5+1.36+3.32+3.37+3.32+3.37+2.73+2.73+2.73+2.73+2.66+2.66+2.66)</f>
        <v>3.0400000000000005</v>
      </c>
      <c r="E25" s="33"/>
      <c r="F25" s="33">
        <f>D25*E25</f>
        <v>0</v>
      </c>
      <c r="G25" s="65"/>
    </row>
    <row r="26" spans="1:7" ht="15">
      <c r="A26" s="66" t="s">
        <v>43</v>
      </c>
      <c r="B26" s="63" t="s">
        <v>23</v>
      </c>
      <c r="C26" s="31" t="s">
        <v>74</v>
      </c>
      <c r="D26" s="32">
        <f>0.15*(4.1+3.71+8.83+8.96)</f>
        <v>3.84</v>
      </c>
      <c r="E26" s="33"/>
      <c r="F26" s="33">
        <f>D26*E26</f>
        <v>0</v>
      </c>
      <c r="G26" s="65"/>
    </row>
    <row r="27" spans="1:7" ht="15" thickBot="1">
      <c r="A27" s="67"/>
      <c r="B27" s="68"/>
      <c r="C27" s="68"/>
      <c r="D27" s="68"/>
      <c r="E27" s="69"/>
      <c r="F27" s="69"/>
      <c r="G27" s="70"/>
    </row>
    <row r="28" spans="1:7" ht="15" thickBot="1">
      <c r="A28" s="24">
        <v>4</v>
      </c>
      <c r="B28" s="334" t="s">
        <v>49</v>
      </c>
      <c r="C28" s="334"/>
      <c r="D28" s="334"/>
      <c r="E28" s="334"/>
      <c r="F28" s="334"/>
      <c r="G28" s="25">
        <f>F30</f>
        <v>0</v>
      </c>
    </row>
    <row r="29" spans="1:7">
      <c r="A29" s="71"/>
      <c r="B29" s="72"/>
      <c r="C29" s="72"/>
      <c r="D29" s="72"/>
      <c r="E29" s="73"/>
      <c r="F29" s="73"/>
      <c r="G29" s="74"/>
    </row>
    <row r="30" spans="1:7" ht="96.6">
      <c r="A30" s="75" t="s">
        <v>26</v>
      </c>
      <c r="B30" s="76" t="s">
        <v>132</v>
      </c>
      <c r="C30" s="31" t="s">
        <v>71</v>
      </c>
      <c r="D30" s="32">
        <f>(0.2*(1.5+1.5+2.73+2.73))+(0.2*(1.36+1.36+2.73+2.73))</f>
        <v>3.3280000000000003</v>
      </c>
      <c r="E30" s="33"/>
      <c r="F30" s="33">
        <f>D30*E30</f>
        <v>0</v>
      </c>
      <c r="G30" s="65"/>
    </row>
    <row r="31" spans="1:7" ht="15" thickBot="1">
      <c r="A31" s="77"/>
      <c r="B31" s="78"/>
      <c r="C31" s="53"/>
      <c r="D31" s="54"/>
      <c r="E31" s="55"/>
      <c r="F31" s="55"/>
      <c r="G31" s="79"/>
    </row>
    <row r="32" spans="1:7" ht="15" thickBot="1">
      <c r="A32" s="24">
        <v>5</v>
      </c>
      <c r="B32" s="334" t="s">
        <v>50</v>
      </c>
      <c r="C32" s="334"/>
      <c r="D32" s="334"/>
      <c r="E32" s="334"/>
      <c r="F32" s="334"/>
      <c r="G32" s="25">
        <f>SUM(F33:F38)</f>
        <v>0</v>
      </c>
    </row>
    <row r="33" spans="1:7">
      <c r="A33" s="80"/>
      <c r="B33" s="81"/>
      <c r="C33" s="41"/>
      <c r="D33" s="42"/>
      <c r="E33" s="43"/>
      <c r="F33" s="43"/>
      <c r="G33" s="82"/>
    </row>
    <row r="34" spans="1:7" ht="69">
      <c r="A34" s="234" t="s">
        <v>27</v>
      </c>
      <c r="B34" s="104" t="s">
        <v>212</v>
      </c>
      <c r="C34" s="235" t="s">
        <v>71</v>
      </c>
      <c r="D34" s="236">
        <f>(0.2*(1.5+1.5+2.73+2.73))+(0.2*(1.36+1.36+2.73+2.73))</f>
        <v>3.3280000000000003</v>
      </c>
      <c r="E34" s="33"/>
      <c r="F34" s="237">
        <f>+D34*E34</f>
        <v>0</v>
      </c>
      <c r="G34" s="238"/>
    </row>
    <row r="35" spans="1:7" ht="27.6">
      <c r="A35" s="234" t="s">
        <v>51</v>
      </c>
      <c r="B35" s="104" t="s">
        <v>213</v>
      </c>
      <c r="C35" s="235" t="s">
        <v>71</v>
      </c>
      <c r="D35" s="236">
        <f>(3*(8.29))-(0.66*1+0.81*2.1+0.82*2.1+0.91*1)</f>
        <v>19.876999999999995</v>
      </c>
      <c r="E35" s="33"/>
      <c r="F35" s="237">
        <f>+D35*E35</f>
        <v>0</v>
      </c>
      <c r="G35" s="238"/>
    </row>
    <row r="36" spans="1:7" ht="27.6">
      <c r="A36" s="234" t="s">
        <v>134</v>
      </c>
      <c r="B36" s="104" t="s">
        <v>214</v>
      </c>
      <c r="C36" s="235" t="s">
        <v>71</v>
      </c>
      <c r="D36" s="236">
        <f>(2.85*(3.13+3.13+1.9+1.9))-(0.83*1+0.74*2.1)+(2.85*(1.76+1.76+3.13+3.13))-(0.77*2.1)+(2.85*(3.06+3.06+3.52+3.52))-(0.66*1+0.81*2.1+0.78*2.1+0.74*2.1)+(2.85*(3.06+3.06+3.57+3.57))-(0.82*2.1+0.91*1+0.76*2.1)+(1.2*(8.29))-(1*1.2)+(4*(0.4*0.6))</f>
        <v>127.767</v>
      </c>
      <c r="E36" s="33"/>
      <c r="F36" s="237">
        <f>+D36*E36</f>
        <v>0</v>
      </c>
      <c r="G36" s="238"/>
    </row>
    <row r="37" spans="1:7" ht="27.6">
      <c r="A37" s="234" t="s">
        <v>145</v>
      </c>
      <c r="B37" s="76" t="s">
        <v>135</v>
      </c>
      <c r="C37" s="31" t="s">
        <v>71</v>
      </c>
      <c r="D37" s="32">
        <f>(5.79+5.35+10.82+10.84)</f>
        <v>32.799999999999997</v>
      </c>
      <c r="E37" s="33"/>
      <c r="F37" s="33">
        <f>D37*E37</f>
        <v>0</v>
      </c>
      <c r="G37" s="65"/>
    </row>
    <row r="38" spans="1:7" ht="15" thickBot="1">
      <c r="A38" s="77"/>
      <c r="B38" s="78"/>
      <c r="C38" s="53"/>
      <c r="D38" s="54"/>
      <c r="E38" s="55"/>
      <c r="F38" s="55"/>
      <c r="G38" s="79"/>
    </row>
    <row r="39" spans="1:7" ht="15" thickBot="1">
      <c r="A39" s="24">
        <v>6</v>
      </c>
      <c r="B39" s="334" t="s">
        <v>215</v>
      </c>
      <c r="C39" s="334"/>
      <c r="D39" s="334"/>
      <c r="E39" s="334"/>
      <c r="F39" s="334"/>
      <c r="G39" s="25">
        <f>F42</f>
        <v>0</v>
      </c>
    </row>
    <row r="40" spans="1:7">
      <c r="A40" s="80"/>
      <c r="B40" s="81"/>
      <c r="C40" s="83"/>
      <c r="D40" s="42"/>
      <c r="E40" s="43"/>
      <c r="F40" s="43"/>
      <c r="G40" s="82"/>
    </row>
    <row r="41" spans="1:7">
      <c r="A41" s="75" t="s">
        <v>32</v>
      </c>
      <c r="B41" s="239" t="s">
        <v>29</v>
      </c>
      <c r="C41" s="239"/>
      <c r="D41" s="239"/>
      <c r="E41" s="239"/>
      <c r="F41" s="239"/>
      <c r="G41" s="240"/>
    </row>
    <row r="42" spans="1:7" ht="82.8">
      <c r="A42" s="75" t="s">
        <v>148</v>
      </c>
      <c r="B42" s="76" t="s">
        <v>216</v>
      </c>
      <c r="C42" s="31" t="s">
        <v>76</v>
      </c>
      <c r="D42" s="32">
        <v>1</v>
      </c>
      <c r="E42" s="33"/>
      <c r="F42" s="33">
        <f>D42*E42</f>
        <v>0</v>
      </c>
      <c r="G42" s="65"/>
    </row>
    <row r="43" spans="1:7" ht="15" thickBot="1">
      <c r="A43" s="75"/>
      <c r="B43" s="78"/>
      <c r="C43" s="84"/>
      <c r="D43" s="54"/>
      <c r="E43" s="55"/>
      <c r="F43" s="55"/>
      <c r="G43" s="79"/>
    </row>
    <row r="44" spans="1:7" ht="15" thickBot="1">
      <c r="A44" s="24">
        <v>7</v>
      </c>
      <c r="B44" s="334" t="s">
        <v>155</v>
      </c>
      <c r="C44" s="334"/>
      <c r="D44" s="334"/>
      <c r="E44" s="334"/>
      <c r="F44" s="334"/>
      <c r="G44" s="25">
        <f>F46</f>
        <v>0</v>
      </c>
    </row>
    <row r="45" spans="1:7">
      <c r="A45" s="80"/>
      <c r="B45" s="81"/>
      <c r="C45" s="83"/>
      <c r="D45" s="42"/>
      <c r="E45" s="43"/>
      <c r="F45" s="43"/>
      <c r="G45" s="82"/>
    </row>
    <row r="46" spans="1:7" ht="55.2">
      <c r="A46" s="85" t="s">
        <v>33</v>
      </c>
      <c r="B46" s="86" t="s">
        <v>217</v>
      </c>
      <c r="C46" s="87" t="s">
        <v>28</v>
      </c>
      <c r="D46" s="88">
        <v>1</v>
      </c>
      <c r="E46" s="89"/>
      <c r="F46" s="89">
        <f>D46*E46</f>
        <v>0</v>
      </c>
      <c r="G46" s="90"/>
    </row>
    <row r="47" spans="1:7" ht="15" thickBot="1">
      <c r="A47" s="77"/>
      <c r="B47" s="78"/>
      <c r="C47" s="84"/>
      <c r="D47" s="54"/>
      <c r="E47" s="55"/>
      <c r="F47" s="55"/>
      <c r="G47" s="79"/>
    </row>
    <row r="48" spans="1:7" ht="15" thickBot="1">
      <c r="A48" s="24">
        <v>8</v>
      </c>
      <c r="B48" s="334" t="s">
        <v>218</v>
      </c>
      <c r="C48" s="334"/>
      <c r="D48" s="334"/>
      <c r="E48" s="334"/>
      <c r="F48" s="334"/>
      <c r="G48" s="25">
        <f>F50+F51</f>
        <v>0</v>
      </c>
    </row>
    <row r="49" spans="1:7">
      <c r="A49" s="80"/>
      <c r="B49" s="81"/>
      <c r="C49" s="41"/>
      <c r="D49" s="42"/>
      <c r="E49" s="43"/>
      <c r="F49" s="43"/>
      <c r="G49" s="82"/>
    </row>
    <row r="50" spans="1:7" ht="55.2">
      <c r="A50" s="75" t="s">
        <v>36</v>
      </c>
      <c r="B50" s="76" t="s">
        <v>219</v>
      </c>
      <c r="C50" s="31" t="s">
        <v>28</v>
      </c>
      <c r="D50" s="32">
        <v>1</v>
      </c>
      <c r="E50" s="33"/>
      <c r="F50" s="33">
        <f>D50*E50</f>
        <v>0</v>
      </c>
      <c r="G50" s="65"/>
    </row>
    <row r="51" spans="1:7" ht="55.2">
      <c r="A51" s="75" t="s">
        <v>191</v>
      </c>
      <c r="B51" s="76" t="s">
        <v>220</v>
      </c>
      <c r="C51" s="31" t="s">
        <v>28</v>
      </c>
      <c r="D51" s="32">
        <v>1</v>
      </c>
      <c r="E51" s="33"/>
      <c r="F51" s="33">
        <f>D51*E51</f>
        <v>0</v>
      </c>
      <c r="G51" s="65"/>
    </row>
    <row r="52" spans="1:7" ht="15" thickBot="1">
      <c r="A52" s="77"/>
      <c r="B52" s="91"/>
      <c r="C52" s="92"/>
      <c r="D52" s="93"/>
      <c r="E52" s="55"/>
      <c r="F52" s="55"/>
      <c r="G52" s="79"/>
    </row>
    <row r="53" spans="1:7" ht="15" thickBot="1">
      <c r="A53" s="24">
        <v>9</v>
      </c>
      <c r="B53" s="334" t="s">
        <v>159</v>
      </c>
      <c r="C53" s="334"/>
      <c r="D53" s="334"/>
      <c r="E53" s="334"/>
      <c r="F53" s="334"/>
      <c r="G53" s="25">
        <f>F55</f>
        <v>0</v>
      </c>
    </row>
    <row r="54" spans="1:7">
      <c r="A54" s="80"/>
      <c r="B54" s="81"/>
      <c r="C54" s="41"/>
      <c r="D54" s="42"/>
      <c r="E54" s="43"/>
      <c r="F54" s="43"/>
      <c r="G54" s="82"/>
    </row>
    <row r="55" spans="1:7" ht="69">
      <c r="A55" s="75" t="s">
        <v>37</v>
      </c>
      <c r="B55" s="76" t="s">
        <v>221</v>
      </c>
      <c r="C55" s="31" t="s">
        <v>28</v>
      </c>
      <c r="D55" s="32">
        <v>1</v>
      </c>
      <c r="E55" s="33"/>
      <c r="F55" s="33">
        <f>D55*E55</f>
        <v>0</v>
      </c>
      <c r="G55" s="65"/>
    </row>
    <row r="56" spans="1:7" ht="15" thickBot="1">
      <c r="A56" s="77"/>
      <c r="B56" s="91"/>
      <c r="C56" s="92"/>
      <c r="D56" s="93"/>
      <c r="E56" s="55"/>
      <c r="F56" s="55"/>
      <c r="G56" s="79"/>
    </row>
    <row r="57" spans="1:7" ht="15" thickBot="1">
      <c r="A57" s="24">
        <v>10</v>
      </c>
      <c r="B57" s="334" t="s">
        <v>162</v>
      </c>
      <c r="C57" s="334"/>
      <c r="D57" s="334"/>
      <c r="E57" s="334"/>
      <c r="F57" s="334"/>
      <c r="G57" s="25">
        <f>F59+F60</f>
        <v>0</v>
      </c>
    </row>
    <row r="58" spans="1:7">
      <c r="A58" s="80"/>
      <c r="B58" s="81"/>
      <c r="C58" s="41"/>
      <c r="D58" s="42"/>
      <c r="E58" s="43"/>
      <c r="F58" s="43"/>
      <c r="G58" s="82"/>
    </row>
    <row r="59" spans="1:7" ht="69">
      <c r="A59" s="85" t="s">
        <v>44</v>
      </c>
      <c r="B59" s="96" t="s">
        <v>222</v>
      </c>
      <c r="C59" s="87" t="s">
        <v>28</v>
      </c>
      <c r="D59" s="88">
        <v>1</v>
      </c>
      <c r="E59" s="89"/>
      <c r="F59" s="89">
        <f>D59*E59</f>
        <v>0</v>
      </c>
      <c r="G59" s="90"/>
    </row>
    <row r="60" spans="1:7" ht="55.2">
      <c r="A60" s="85" t="s">
        <v>83</v>
      </c>
      <c r="B60" s="76" t="s">
        <v>103</v>
      </c>
      <c r="C60" s="31" t="s">
        <v>71</v>
      </c>
      <c r="D60" s="32">
        <f>(0.6*1.8)</f>
        <v>1.08</v>
      </c>
      <c r="E60" s="33"/>
      <c r="F60" s="33">
        <f t="shared" ref="F60" si="1">D60*E60</f>
        <v>0</v>
      </c>
      <c r="G60" s="65"/>
    </row>
    <row r="61" spans="1:7" ht="15" thickBot="1">
      <c r="A61" s="77"/>
      <c r="B61" s="78"/>
      <c r="C61" s="53"/>
      <c r="D61" s="54"/>
      <c r="E61" s="55"/>
      <c r="F61" s="55"/>
      <c r="G61" s="79"/>
    </row>
    <row r="62" spans="1:7" ht="15" thickBot="1">
      <c r="A62" s="241">
        <v>11</v>
      </c>
      <c r="B62" s="333" t="s">
        <v>223</v>
      </c>
      <c r="C62" s="333"/>
      <c r="D62" s="333"/>
      <c r="E62" s="333"/>
      <c r="F62" s="333"/>
      <c r="G62" s="242">
        <f>SUM(F63:F75)</f>
        <v>0</v>
      </c>
    </row>
    <row r="63" spans="1:7">
      <c r="A63" s="243"/>
      <c r="B63" s="244"/>
      <c r="C63" s="245"/>
      <c r="D63" s="246"/>
      <c r="E63" s="247"/>
      <c r="F63" s="247"/>
      <c r="G63" s="248"/>
    </row>
    <row r="64" spans="1:7" ht="69">
      <c r="A64" s="234" t="s">
        <v>45</v>
      </c>
      <c r="B64" s="76" t="s">
        <v>224</v>
      </c>
      <c r="C64" s="235" t="s">
        <v>77</v>
      </c>
      <c r="D64" s="236">
        <v>1</v>
      </c>
      <c r="E64" s="237"/>
      <c r="F64" s="237">
        <f t="shared" ref="F64:F74" si="2">+D64*E64</f>
        <v>0</v>
      </c>
      <c r="G64" s="238"/>
    </row>
    <row r="65" spans="1:7" ht="69">
      <c r="A65" s="234" t="s">
        <v>61</v>
      </c>
      <c r="B65" s="76" t="s">
        <v>225</v>
      </c>
      <c r="C65" s="235" t="s">
        <v>77</v>
      </c>
      <c r="D65" s="236">
        <v>1</v>
      </c>
      <c r="E65" s="237"/>
      <c r="F65" s="237">
        <f t="shared" si="2"/>
        <v>0</v>
      </c>
      <c r="G65" s="238"/>
    </row>
    <row r="66" spans="1:7" ht="69">
      <c r="A66" s="234" t="s">
        <v>117</v>
      </c>
      <c r="B66" s="76" t="s">
        <v>226</v>
      </c>
      <c r="C66" s="235" t="s">
        <v>77</v>
      </c>
      <c r="D66" s="236">
        <v>1</v>
      </c>
      <c r="E66" s="237"/>
      <c r="F66" s="237">
        <f t="shared" si="2"/>
        <v>0</v>
      </c>
      <c r="G66" s="238"/>
    </row>
    <row r="67" spans="1:7" ht="69">
      <c r="A67" s="234" t="s">
        <v>119</v>
      </c>
      <c r="B67" s="76" t="s">
        <v>227</v>
      </c>
      <c r="C67" s="235" t="s">
        <v>77</v>
      </c>
      <c r="D67" s="236">
        <v>1</v>
      </c>
      <c r="E67" s="237"/>
      <c r="F67" s="237">
        <f t="shared" si="2"/>
        <v>0</v>
      </c>
      <c r="G67" s="238"/>
    </row>
    <row r="68" spans="1:7" ht="69">
      <c r="A68" s="234" t="s">
        <v>228</v>
      </c>
      <c r="B68" s="76" t="s">
        <v>229</v>
      </c>
      <c r="C68" s="235" t="s">
        <v>77</v>
      </c>
      <c r="D68" s="236">
        <v>1</v>
      </c>
      <c r="E68" s="237"/>
      <c r="F68" s="237">
        <f t="shared" si="2"/>
        <v>0</v>
      </c>
      <c r="G68" s="238"/>
    </row>
    <row r="69" spans="1:7" ht="69">
      <c r="A69" s="234" t="s">
        <v>230</v>
      </c>
      <c r="B69" s="76" t="s">
        <v>231</v>
      </c>
      <c r="C69" s="235" t="s">
        <v>77</v>
      </c>
      <c r="D69" s="236">
        <v>1</v>
      </c>
      <c r="E69" s="237"/>
      <c r="F69" s="237">
        <f t="shared" si="2"/>
        <v>0</v>
      </c>
      <c r="G69" s="238"/>
    </row>
    <row r="70" spans="1:7" ht="69">
      <c r="A70" s="234" t="s">
        <v>232</v>
      </c>
      <c r="B70" s="76" t="s">
        <v>233</v>
      </c>
      <c r="C70" s="235" t="s">
        <v>77</v>
      </c>
      <c r="D70" s="236">
        <v>1</v>
      </c>
      <c r="E70" s="237"/>
      <c r="F70" s="237">
        <f t="shared" si="2"/>
        <v>0</v>
      </c>
      <c r="G70" s="238"/>
    </row>
    <row r="71" spans="1:7" ht="69">
      <c r="A71" s="234" t="s">
        <v>234</v>
      </c>
      <c r="B71" s="76" t="s">
        <v>235</v>
      </c>
      <c r="C71" s="235" t="s">
        <v>77</v>
      </c>
      <c r="D71" s="236">
        <v>1</v>
      </c>
      <c r="E71" s="237"/>
      <c r="F71" s="237">
        <f t="shared" si="2"/>
        <v>0</v>
      </c>
      <c r="G71" s="238"/>
    </row>
    <row r="72" spans="1:7" ht="69">
      <c r="A72" s="234" t="s">
        <v>236</v>
      </c>
      <c r="B72" s="76" t="s">
        <v>237</v>
      </c>
      <c r="C72" s="235" t="s">
        <v>77</v>
      </c>
      <c r="D72" s="236">
        <v>1</v>
      </c>
      <c r="E72" s="237"/>
      <c r="F72" s="237">
        <f t="shared" si="2"/>
        <v>0</v>
      </c>
      <c r="G72" s="238"/>
    </row>
    <row r="73" spans="1:7" ht="69">
      <c r="A73" s="234" t="s">
        <v>238</v>
      </c>
      <c r="B73" s="76" t="s">
        <v>239</v>
      </c>
      <c r="C73" s="235" t="s">
        <v>77</v>
      </c>
      <c r="D73" s="236">
        <v>1</v>
      </c>
      <c r="E73" s="237"/>
      <c r="F73" s="237">
        <f t="shared" si="2"/>
        <v>0</v>
      </c>
      <c r="G73" s="238"/>
    </row>
    <row r="74" spans="1:7" ht="69">
      <c r="A74" s="234" t="s">
        <v>240</v>
      </c>
      <c r="B74" s="76" t="s">
        <v>241</v>
      </c>
      <c r="C74" s="235" t="s">
        <v>77</v>
      </c>
      <c r="D74" s="236">
        <v>1</v>
      </c>
      <c r="E74" s="237"/>
      <c r="F74" s="237">
        <f t="shared" si="2"/>
        <v>0</v>
      </c>
      <c r="G74" s="238"/>
    </row>
    <row r="75" spans="1:7" ht="15" thickBot="1">
      <c r="A75" s="249"/>
      <c r="B75" s="250"/>
      <c r="C75" s="251"/>
      <c r="D75" s="252"/>
      <c r="E75" s="253"/>
      <c r="F75" s="253"/>
      <c r="G75" s="254"/>
    </row>
    <row r="76" spans="1:7" ht="15" thickBot="1">
      <c r="A76" s="241">
        <v>12</v>
      </c>
      <c r="B76" s="333" t="s">
        <v>242</v>
      </c>
      <c r="C76" s="333"/>
      <c r="D76" s="333"/>
      <c r="E76" s="333"/>
      <c r="F76" s="333"/>
      <c r="G76" s="242">
        <f>SUM(F77:F80)</f>
        <v>0</v>
      </c>
    </row>
    <row r="77" spans="1:7">
      <c r="A77" s="243"/>
      <c r="B77" s="244"/>
      <c r="C77" s="245"/>
      <c r="D77" s="246"/>
      <c r="E77" s="247"/>
      <c r="F77" s="247"/>
      <c r="G77" s="248"/>
    </row>
    <row r="78" spans="1:7" ht="41.4">
      <c r="A78" s="234" t="s">
        <v>165</v>
      </c>
      <c r="B78" s="104" t="s">
        <v>243</v>
      </c>
      <c r="C78" s="235" t="s">
        <v>77</v>
      </c>
      <c r="D78" s="236">
        <v>1</v>
      </c>
      <c r="E78" s="237"/>
      <c r="F78" s="237">
        <f>+D78*E78</f>
        <v>0</v>
      </c>
      <c r="G78" s="238"/>
    </row>
    <row r="79" spans="1:7" ht="41.4">
      <c r="A79" s="234" t="s">
        <v>167</v>
      </c>
      <c r="B79" s="104" t="s">
        <v>244</v>
      </c>
      <c r="C79" s="235" t="s">
        <v>77</v>
      </c>
      <c r="D79" s="236">
        <v>1</v>
      </c>
      <c r="E79" s="237"/>
      <c r="F79" s="237">
        <f>+D79*E79</f>
        <v>0</v>
      </c>
      <c r="G79" s="238"/>
    </row>
    <row r="80" spans="1:7" ht="15" thickBot="1">
      <c r="A80" s="249"/>
      <c r="B80" s="250"/>
      <c r="C80" s="251"/>
      <c r="D80" s="252"/>
      <c r="E80" s="253"/>
      <c r="F80" s="253"/>
      <c r="G80" s="254"/>
    </row>
    <row r="81" spans="1:7" ht="15" thickBot="1">
      <c r="A81" s="24">
        <v>13</v>
      </c>
      <c r="B81" s="334" t="s">
        <v>245</v>
      </c>
      <c r="C81" s="334"/>
      <c r="D81" s="334"/>
      <c r="E81" s="334"/>
      <c r="F81" s="334"/>
      <c r="G81" s="25">
        <f>F83</f>
        <v>0</v>
      </c>
    </row>
    <row r="82" spans="1:7">
      <c r="A82" s="80"/>
      <c r="B82" s="81"/>
      <c r="C82" s="41"/>
      <c r="D82" s="42"/>
      <c r="E82" s="43"/>
      <c r="F82" s="43"/>
      <c r="G82" s="82"/>
    </row>
    <row r="83" spans="1:7" ht="55.2">
      <c r="A83" s="75" t="s">
        <v>246</v>
      </c>
      <c r="B83" s="76" t="s">
        <v>173</v>
      </c>
      <c r="C83" s="31" t="s">
        <v>77</v>
      </c>
      <c r="D83" s="32">
        <v>1</v>
      </c>
      <c r="E83" s="33"/>
      <c r="F83" s="33">
        <f>D83*E83</f>
        <v>0</v>
      </c>
      <c r="G83" s="65"/>
    </row>
    <row r="84" spans="1:7" ht="15" thickBot="1">
      <c r="A84" s="77"/>
      <c r="B84" s="78"/>
      <c r="C84" s="53"/>
      <c r="D84" s="54"/>
      <c r="E84" s="55"/>
      <c r="F84" s="55"/>
      <c r="G84" s="79"/>
    </row>
    <row r="85" spans="1:7" ht="15" thickBot="1">
      <c r="A85" s="94"/>
      <c r="B85" s="340"/>
      <c r="C85" s="340"/>
      <c r="D85" s="340"/>
      <c r="E85" s="340"/>
      <c r="F85" s="340"/>
      <c r="G85" s="340">
        <f>SUM(G8:G84)</f>
        <v>0</v>
      </c>
    </row>
    <row r="86" spans="1:7" ht="15" thickBot="1">
      <c r="A86" s="94"/>
      <c r="B86" s="342" t="s">
        <v>34</v>
      </c>
      <c r="C86" s="342"/>
      <c r="D86" s="342"/>
      <c r="E86" s="342"/>
      <c r="F86" s="342"/>
      <c r="G86" s="336"/>
    </row>
  </sheetData>
  <mergeCells count="27">
    <mergeCell ref="B76:F76"/>
    <mergeCell ref="B81:F81"/>
    <mergeCell ref="B85:F85"/>
    <mergeCell ref="G85:G86"/>
    <mergeCell ref="B86:F86"/>
    <mergeCell ref="B32:F32"/>
    <mergeCell ref="B1:E1"/>
    <mergeCell ref="F2:G2"/>
    <mergeCell ref="B3:E3"/>
    <mergeCell ref="F3:G3"/>
    <mergeCell ref="F5:G5"/>
    <mergeCell ref="A7:G7"/>
    <mergeCell ref="B8:F8"/>
    <mergeCell ref="B15:F15"/>
    <mergeCell ref="B19:F19"/>
    <mergeCell ref="B28:F28"/>
    <mergeCell ref="A5:A6"/>
    <mergeCell ref="B5:B6"/>
    <mergeCell ref="C5:C6"/>
    <mergeCell ref="D5:D6"/>
    <mergeCell ref="E5:E6"/>
    <mergeCell ref="B62:F62"/>
    <mergeCell ref="B39:F39"/>
    <mergeCell ref="B44:F44"/>
    <mergeCell ref="B48:F48"/>
    <mergeCell ref="B53:F53"/>
    <mergeCell ref="B57:F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opLeftCell="A76" zoomScale="114" zoomScaleNormal="190" workbookViewId="0">
      <selection activeCell="E37" sqref="E37:E39"/>
    </sheetView>
  </sheetViews>
  <sheetFormatPr defaultColWidth="9.109375" defaultRowHeight="14.4"/>
  <cols>
    <col min="2" max="2" width="43.44140625" customWidth="1"/>
    <col min="5" max="5" width="10.5546875" customWidth="1"/>
    <col min="6" max="6" width="13.88671875" customWidth="1"/>
    <col min="7" max="7" width="13.5546875" customWidth="1"/>
  </cols>
  <sheetData>
    <row r="1" spans="1:7">
      <c r="A1" s="105"/>
      <c r="E1" s="106"/>
      <c r="F1" s="106"/>
    </row>
    <row r="2" spans="1:7">
      <c r="A2" s="19" t="s">
        <v>0</v>
      </c>
      <c r="B2" s="19"/>
      <c r="C2" s="107"/>
      <c r="D2" s="107"/>
      <c r="E2" s="20"/>
      <c r="F2" s="108"/>
      <c r="G2" s="107"/>
    </row>
    <row r="3" spans="1:7">
      <c r="A3" s="16" t="s">
        <v>1</v>
      </c>
      <c r="B3" s="19" t="s">
        <v>46</v>
      </c>
      <c r="C3" s="18"/>
      <c r="E3" s="27"/>
      <c r="F3" s="17"/>
      <c r="G3" s="18"/>
    </row>
    <row r="4" spans="1:7">
      <c r="A4" s="16" t="s">
        <v>2</v>
      </c>
      <c r="B4" s="19"/>
      <c r="C4" s="18"/>
      <c r="D4" s="18"/>
      <c r="E4" s="20"/>
      <c r="F4" s="324"/>
      <c r="G4" s="324"/>
    </row>
    <row r="5" spans="1:7">
      <c r="A5" s="16" t="s">
        <v>3</v>
      </c>
      <c r="B5" s="19" t="s">
        <v>85</v>
      </c>
      <c r="C5" s="18"/>
      <c r="D5" s="18"/>
      <c r="E5" s="20"/>
      <c r="F5" s="324" t="s">
        <v>115</v>
      </c>
      <c r="G5" s="324"/>
    </row>
    <row r="6" spans="1:7" ht="15" thickBot="1">
      <c r="A6" s="18"/>
      <c r="B6" s="19"/>
      <c r="C6" s="18"/>
      <c r="D6" s="18"/>
      <c r="E6" s="21"/>
      <c r="F6" s="21"/>
      <c r="G6" s="18"/>
    </row>
    <row r="7" spans="1:7" ht="15" thickBot="1">
      <c r="A7" s="325" t="s">
        <v>4</v>
      </c>
      <c r="B7" s="325" t="s">
        <v>5</v>
      </c>
      <c r="C7" s="325" t="s">
        <v>6</v>
      </c>
      <c r="D7" s="327" t="s">
        <v>7</v>
      </c>
      <c r="E7" s="329" t="s">
        <v>8</v>
      </c>
      <c r="F7" s="331" t="s">
        <v>9</v>
      </c>
      <c r="G7" s="332"/>
    </row>
    <row r="8" spans="1:7" ht="15" thickBot="1">
      <c r="A8" s="326"/>
      <c r="B8" s="326" t="s">
        <v>10</v>
      </c>
      <c r="C8" s="326" t="s">
        <v>11</v>
      </c>
      <c r="D8" s="328" t="s">
        <v>12</v>
      </c>
      <c r="E8" s="330"/>
      <c r="F8" s="109" t="s">
        <v>13</v>
      </c>
      <c r="G8" s="110" t="s">
        <v>14</v>
      </c>
    </row>
    <row r="9" spans="1:7">
      <c r="A9" s="321"/>
      <c r="B9" s="322"/>
      <c r="C9" s="322"/>
      <c r="D9" s="322"/>
      <c r="E9" s="322"/>
      <c r="F9" s="322"/>
      <c r="G9" s="323"/>
    </row>
    <row r="10" spans="1:7">
      <c r="A10" s="111">
        <v>1</v>
      </c>
      <c r="B10" s="310" t="s">
        <v>15</v>
      </c>
      <c r="C10" s="311"/>
      <c r="D10" s="311"/>
      <c r="E10" s="311"/>
      <c r="F10" s="312"/>
      <c r="G10" s="112">
        <f>+SUM(F12:F14)</f>
        <v>0</v>
      </c>
    </row>
    <row r="11" spans="1:7">
      <c r="A11" s="113"/>
      <c r="B11" s="114"/>
      <c r="C11" s="114"/>
      <c r="D11" s="114"/>
      <c r="E11" s="115"/>
      <c r="F11" s="115"/>
      <c r="G11" s="116"/>
    </row>
    <row r="12" spans="1:7" ht="46.5" customHeight="1">
      <c r="A12" s="66" t="s">
        <v>16</v>
      </c>
      <c r="B12" s="30" t="s">
        <v>86</v>
      </c>
      <c r="C12" s="31" t="s">
        <v>74</v>
      </c>
      <c r="D12" s="32">
        <f>33.35*0.15</f>
        <v>5.0025000000000004</v>
      </c>
      <c r="E12" s="33"/>
      <c r="F12" s="33">
        <f>+D12*E12</f>
        <v>0</v>
      </c>
      <c r="G12" s="34"/>
    </row>
    <row r="13" spans="1:7" ht="58.5" customHeight="1">
      <c r="A13" s="66" t="s">
        <v>17</v>
      </c>
      <c r="B13" s="30" t="s">
        <v>87</v>
      </c>
      <c r="C13" s="31" t="s">
        <v>71</v>
      </c>
      <c r="D13" s="32">
        <f>10.81+16.86</f>
        <v>27.67</v>
      </c>
      <c r="E13" s="33"/>
      <c r="F13" s="33">
        <f>D13*E13</f>
        <v>0</v>
      </c>
      <c r="G13" s="34"/>
    </row>
    <row r="14" spans="1:7" ht="55.5" customHeight="1">
      <c r="A14" s="66" t="s">
        <v>73</v>
      </c>
      <c r="B14" s="30" t="s">
        <v>88</v>
      </c>
      <c r="C14" s="31" t="s">
        <v>71</v>
      </c>
      <c r="D14" s="32">
        <f>((2.09+6.57+3.31)*1.8)</f>
        <v>21.546000000000003</v>
      </c>
      <c r="E14" s="33"/>
      <c r="F14" s="33">
        <f t="shared" ref="F14" si="0">D14*E14</f>
        <v>0</v>
      </c>
      <c r="G14" s="34"/>
    </row>
    <row r="15" spans="1:7" ht="20.25" customHeight="1">
      <c r="A15" s="66"/>
      <c r="B15" s="30"/>
      <c r="C15" s="31"/>
      <c r="D15" s="32"/>
      <c r="E15" s="33"/>
      <c r="F15" s="33"/>
      <c r="G15" s="34"/>
    </row>
    <row r="16" spans="1:7" ht="18" customHeight="1">
      <c r="A16" s="111">
        <v>2</v>
      </c>
      <c r="B16" s="310" t="s">
        <v>38</v>
      </c>
      <c r="C16" s="311"/>
      <c r="D16" s="311"/>
      <c r="E16" s="311"/>
      <c r="F16" s="312"/>
      <c r="G16" s="112">
        <f>SUM(F18)</f>
        <v>0</v>
      </c>
    </row>
    <row r="17" spans="1:7" ht="21" customHeight="1">
      <c r="A17" s="66"/>
      <c r="B17" s="30"/>
      <c r="C17" s="31"/>
      <c r="D17" s="32"/>
      <c r="E17" s="33"/>
      <c r="F17" s="33"/>
      <c r="G17" s="34"/>
    </row>
    <row r="18" spans="1:7" ht="45.75" customHeight="1">
      <c r="A18" s="66" t="s">
        <v>18</v>
      </c>
      <c r="B18" s="30" t="s">
        <v>75</v>
      </c>
      <c r="C18" s="31" t="s">
        <v>74</v>
      </c>
      <c r="D18" s="32">
        <f>0.8*0.8*0.4*6</f>
        <v>1.5360000000000005</v>
      </c>
      <c r="E18" s="33"/>
      <c r="F18" s="33">
        <f>D18*E18</f>
        <v>0</v>
      </c>
      <c r="G18" s="34"/>
    </row>
    <row r="19" spans="1:7" ht="17.25" customHeight="1">
      <c r="A19" s="66"/>
      <c r="B19" s="30"/>
      <c r="C19" s="31"/>
      <c r="D19" s="32"/>
      <c r="E19" s="33"/>
      <c r="F19" s="33"/>
      <c r="G19" s="34"/>
    </row>
    <row r="20" spans="1:7" ht="17.25" customHeight="1">
      <c r="A20" s="111">
        <v>3</v>
      </c>
      <c r="B20" s="310" t="s">
        <v>39</v>
      </c>
      <c r="C20" s="311"/>
      <c r="D20" s="311"/>
      <c r="E20" s="311"/>
      <c r="F20" s="312"/>
      <c r="G20" s="112">
        <f>SUM(F22:F27)</f>
        <v>0</v>
      </c>
    </row>
    <row r="21" spans="1:7" ht="17.25" customHeight="1">
      <c r="A21" s="117"/>
      <c r="B21" s="118"/>
      <c r="C21" s="119"/>
      <c r="D21" s="119"/>
      <c r="E21" s="119"/>
      <c r="F21" s="120"/>
      <c r="G21" s="121"/>
    </row>
    <row r="22" spans="1:7" ht="50.25" customHeight="1">
      <c r="A22" s="62" t="s">
        <v>24</v>
      </c>
      <c r="B22" s="63" t="s">
        <v>89</v>
      </c>
      <c r="C22" s="31" t="s">
        <v>71</v>
      </c>
      <c r="D22" s="173">
        <f>(0.6*0.6*6)</f>
        <v>2.16</v>
      </c>
      <c r="E22" s="115"/>
      <c r="F22" s="115">
        <f>D22*E22</f>
        <v>0</v>
      </c>
      <c r="G22" s="116"/>
    </row>
    <row r="23" spans="1:7" ht="84.75" customHeight="1">
      <c r="A23" s="62" t="s">
        <v>25</v>
      </c>
      <c r="B23" s="63" t="s">
        <v>19</v>
      </c>
      <c r="C23" s="64"/>
      <c r="D23" s="32"/>
      <c r="E23" s="33"/>
      <c r="F23" s="33"/>
      <c r="G23" s="65"/>
    </row>
    <row r="24" spans="1:7" ht="22.5" customHeight="1">
      <c r="A24" s="62" t="s">
        <v>40</v>
      </c>
      <c r="B24" s="63" t="s">
        <v>20</v>
      </c>
      <c r="C24" s="31" t="s">
        <v>74</v>
      </c>
      <c r="D24" s="32">
        <f>0.5*0.5*0.4*6</f>
        <v>0.60000000000000009</v>
      </c>
      <c r="E24" s="33"/>
      <c r="F24" s="33">
        <f>D24*E24</f>
        <v>0</v>
      </c>
      <c r="G24" s="65"/>
    </row>
    <row r="25" spans="1:7" ht="19.5" customHeight="1">
      <c r="A25" s="62" t="s">
        <v>41</v>
      </c>
      <c r="B25" s="63" t="s">
        <v>21</v>
      </c>
      <c r="C25" s="31" t="s">
        <v>74</v>
      </c>
      <c r="D25" s="32">
        <f>0.2*0.2*3.18*6</f>
        <v>0.76320000000000021</v>
      </c>
      <c r="E25" s="33"/>
      <c r="F25" s="33">
        <f>D25*E25</f>
        <v>0</v>
      </c>
      <c r="G25" s="65"/>
    </row>
    <row r="26" spans="1:7" ht="20.25" customHeight="1">
      <c r="A26" s="62" t="s">
        <v>42</v>
      </c>
      <c r="B26" s="63" t="s">
        <v>22</v>
      </c>
      <c r="C26" s="31" t="s">
        <v>74</v>
      </c>
      <c r="D26" s="32">
        <f>((2.09*3+1.92*3+3.49*4+3.27*2+3.13*2+1.86+8.66*2)*0.2*0.4)</f>
        <v>4.6376000000000008</v>
      </c>
      <c r="E26" s="33"/>
      <c r="F26" s="33">
        <f>D26*E26</f>
        <v>0</v>
      </c>
      <c r="G26" s="65"/>
    </row>
    <row r="27" spans="1:7" ht="21.75" customHeight="1">
      <c r="A27" s="62" t="s">
        <v>43</v>
      </c>
      <c r="B27" s="63" t="s">
        <v>23</v>
      </c>
      <c r="C27" s="31" t="s">
        <v>74</v>
      </c>
      <c r="D27" s="32">
        <f>((6.83+6.54+0.91+3.19+3.57+5.79+7.68+14.66)*0.15)</f>
        <v>7.3754999999999997</v>
      </c>
      <c r="E27" s="33"/>
      <c r="F27" s="33">
        <f>D27*E27</f>
        <v>0</v>
      </c>
      <c r="G27" s="65"/>
    </row>
    <row r="28" spans="1:7" ht="17.25" customHeight="1">
      <c r="A28" s="66"/>
      <c r="B28" s="30"/>
      <c r="C28" s="31"/>
      <c r="D28" s="32"/>
      <c r="E28" s="33"/>
      <c r="F28" s="33"/>
      <c r="G28" s="34"/>
    </row>
    <row r="29" spans="1:7" ht="17.25" customHeight="1">
      <c r="A29" s="111">
        <v>4</v>
      </c>
      <c r="B29" s="310" t="s">
        <v>49</v>
      </c>
      <c r="C29" s="311"/>
      <c r="D29" s="311"/>
      <c r="E29" s="311"/>
      <c r="F29" s="312"/>
      <c r="G29" s="112">
        <f>+SUM(F31:F33)</f>
        <v>0</v>
      </c>
    </row>
    <row r="30" spans="1:7" ht="17.25" customHeight="1">
      <c r="A30" s="113"/>
      <c r="B30" s="114"/>
      <c r="C30" s="114"/>
      <c r="D30" s="114"/>
      <c r="E30" s="115"/>
      <c r="F30" s="115"/>
      <c r="G30" s="116"/>
    </row>
    <row r="31" spans="1:7" ht="61.5" customHeight="1">
      <c r="A31" s="75" t="s">
        <v>26</v>
      </c>
      <c r="B31" s="76" t="s">
        <v>90</v>
      </c>
      <c r="C31" s="31" t="s">
        <v>71</v>
      </c>
      <c r="D31" s="32">
        <f>(2.09*3+3.27+3.13+4.54)*2.78</f>
        <v>47.843799999999987</v>
      </c>
      <c r="E31" s="33"/>
      <c r="F31" s="33">
        <f>D31*E31</f>
        <v>0</v>
      </c>
      <c r="G31" s="65"/>
    </row>
    <row r="32" spans="1:7" ht="76.5" customHeight="1">
      <c r="A32" s="75" t="s">
        <v>129</v>
      </c>
      <c r="B32" s="76" t="s">
        <v>131</v>
      </c>
      <c r="C32" s="31" t="s">
        <v>71</v>
      </c>
      <c r="D32" s="32">
        <f>(8.5+7*2+2.69+4.09)*0.4</f>
        <v>11.712000000000002</v>
      </c>
      <c r="E32" s="33"/>
      <c r="F32" s="33">
        <f>D32*E32</f>
        <v>0</v>
      </c>
      <c r="G32" s="65"/>
    </row>
    <row r="33" spans="1:7" ht="84.75" customHeight="1">
      <c r="A33" s="75" t="s">
        <v>130</v>
      </c>
      <c r="B33" s="76" t="s">
        <v>132</v>
      </c>
      <c r="C33" s="31" t="s">
        <v>71</v>
      </c>
      <c r="D33" s="32">
        <f>((1.86+1.72+3.09)*0.4)</f>
        <v>2.6680000000000001</v>
      </c>
      <c r="E33" s="33"/>
      <c r="F33" s="33">
        <f>D33*E33</f>
        <v>0</v>
      </c>
      <c r="G33" s="65"/>
    </row>
    <row r="34" spans="1:7" ht="13.5" customHeight="1">
      <c r="A34" s="66"/>
      <c r="B34" s="30"/>
      <c r="C34" s="31"/>
      <c r="D34" s="32"/>
      <c r="E34" s="33"/>
      <c r="F34" s="33"/>
      <c r="G34" s="34"/>
    </row>
    <row r="35" spans="1:7">
      <c r="A35" s="111">
        <v>5</v>
      </c>
      <c r="B35" s="310" t="s">
        <v>50</v>
      </c>
      <c r="C35" s="311"/>
      <c r="D35" s="311"/>
      <c r="E35" s="311"/>
      <c r="F35" s="312"/>
      <c r="G35" s="112">
        <f>SUM(F37:F39)</f>
        <v>0</v>
      </c>
    </row>
    <row r="36" spans="1:7">
      <c r="A36" s="75"/>
      <c r="B36" s="76"/>
      <c r="C36" s="31"/>
      <c r="D36" s="32"/>
      <c r="E36" s="33"/>
      <c r="F36" s="33"/>
      <c r="G36" s="65"/>
    </row>
    <row r="37" spans="1:7" ht="69.75" customHeight="1">
      <c r="A37" s="75" t="s">
        <v>27</v>
      </c>
      <c r="B37" s="76" t="s">
        <v>35</v>
      </c>
      <c r="C37" s="31" t="s">
        <v>71</v>
      </c>
      <c r="D37" s="32">
        <f>((2.49+2.29+2.19*3+4.41+3.27+3.13+2.64+3.13)*3.18)</f>
        <v>88.817400000000006</v>
      </c>
      <c r="E37" s="33"/>
      <c r="F37" s="33">
        <f>+D37*E37</f>
        <v>0</v>
      </c>
      <c r="G37" s="65"/>
    </row>
    <row r="38" spans="1:7" ht="33.75" customHeight="1">
      <c r="A38" s="75" t="s">
        <v>51</v>
      </c>
      <c r="B38" s="76" t="s">
        <v>133</v>
      </c>
      <c r="C38" s="31" t="s">
        <v>71</v>
      </c>
      <c r="D38" s="32">
        <f>((8.86*3.18)-(0.85*2.1*2+0.83*2.1))+D37</f>
        <v>111.67920000000001</v>
      </c>
      <c r="E38" s="33"/>
      <c r="F38" s="33">
        <f>+D38*E38</f>
        <v>0</v>
      </c>
      <c r="G38" s="65"/>
    </row>
    <row r="39" spans="1:7" ht="33.75" customHeight="1">
      <c r="A39" s="75" t="s">
        <v>134</v>
      </c>
      <c r="B39" s="96" t="s">
        <v>135</v>
      </c>
      <c r="C39" s="31" t="s">
        <v>71</v>
      </c>
      <c r="D39" s="32">
        <f>(6.83+6.54+0.91+3.19+3.57+5.79+7.68+14.66)</f>
        <v>49.17</v>
      </c>
      <c r="E39" s="33"/>
      <c r="F39" s="33">
        <f>+D39*E39</f>
        <v>0</v>
      </c>
      <c r="G39" s="65"/>
    </row>
    <row r="40" spans="1:7">
      <c r="A40" s="75"/>
      <c r="B40" s="76"/>
      <c r="C40" s="31"/>
      <c r="D40" s="32"/>
      <c r="E40" s="33"/>
      <c r="F40" s="33"/>
      <c r="G40" s="65"/>
    </row>
    <row r="41" spans="1:7">
      <c r="A41" s="111">
        <v>6</v>
      </c>
      <c r="B41" s="310" t="s">
        <v>53</v>
      </c>
      <c r="C41" s="311"/>
      <c r="D41" s="311"/>
      <c r="E41" s="311"/>
      <c r="F41" s="312"/>
      <c r="G41" s="112">
        <f>+SUM(F43:F43)</f>
        <v>0</v>
      </c>
    </row>
    <row r="42" spans="1:7" ht="12" customHeight="1">
      <c r="A42" s="75"/>
      <c r="B42" s="76"/>
      <c r="C42" s="122"/>
      <c r="D42" s="32"/>
      <c r="E42" s="33"/>
      <c r="F42" s="33"/>
      <c r="G42" s="65"/>
    </row>
    <row r="43" spans="1:7" ht="59.25" customHeight="1">
      <c r="A43" s="75" t="s">
        <v>32</v>
      </c>
      <c r="B43" s="123" t="s">
        <v>91</v>
      </c>
      <c r="C43" s="31" t="s">
        <v>28</v>
      </c>
      <c r="D43" s="32">
        <v>1</v>
      </c>
      <c r="E43" s="33"/>
      <c r="F43" s="33">
        <f>D43*E43</f>
        <v>0</v>
      </c>
      <c r="G43" s="65"/>
    </row>
    <row r="44" spans="1:7">
      <c r="A44" s="147"/>
      <c r="B44" s="96"/>
      <c r="C44" s="174"/>
      <c r="D44" s="149"/>
      <c r="E44" s="150"/>
      <c r="F44" s="151"/>
      <c r="G44" s="175"/>
    </row>
    <row r="45" spans="1:7">
      <c r="A45" s="111">
        <v>7</v>
      </c>
      <c r="B45" s="310" t="s">
        <v>54</v>
      </c>
      <c r="C45" s="311"/>
      <c r="D45" s="311"/>
      <c r="E45" s="311"/>
      <c r="F45" s="312"/>
      <c r="G45" s="112">
        <f>+SUM(F47)</f>
        <v>0</v>
      </c>
    </row>
    <row r="46" spans="1:7">
      <c r="A46" s="75"/>
      <c r="B46" s="76"/>
      <c r="C46" s="122"/>
      <c r="D46" s="32"/>
      <c r="E46" s="33"/>
      <c r="F46" s="33"/>
      <c r="G46" s="65"/>
    </row>
    <row r="47" spans="1:7" ht="53.25" customHeight="1">
      <c r="A47" s="75" t="s">
        <v>33</v>
      </c>
      <c r="B47" s="76" t="s">
        <v>92</v>
      </c>
      <c r="C47" s="31" t="s">
        <v>28</v>
      </c>
      <c r="D47" s="32">
        <v>1</v>
      </c>
      <c r="E47" s="33"/>
      <c r="F47" s="33">
        <f>D47*E47</f>
        <v>0</v>
      </c>
      <c r="G47" s="65"/>
    </row>
    <row r="48" spans="1:7" ht="16.5" customHeight="1">
      <c r="A48" s="75"/>
      <c r="B48" s="76"/>
      <c r="C48" s="31"/>
      <c r="D48" s="32"/>
      <c r="E48" s="33"/>
      <c r="F48" s="33"/>
      <c r="G48" s="65"/>
    </row>
    <row r="49" spans="1:7" ht="16.5" customHeight="1">
      <c r="A49" s="111">
        <v>8</v>
      </c>
      <c r="B49" s="310" t="s">
        <v>55</v>
      </c>
      <c r="C49" s="311"/>
      <c r="D49" s="311"/>
      <c r="E49" s="311"/>
      <c r="F49" s="312"/>
      <c r="G49" s="112">
        <f>+SUM(F78)</f>
        <v>0</v>
      </c>
    </row>
    <row r="50" spans="1:7" ht="16.5" customHeight="1">
      <c r="A50" s="75"/>
      <c r="B50" s="76"/>
      <c r="C50" s="31"/>
      <c r="D50" s="32"/>
      <c r="E50" s="33"/>
      <c r="F50" s="33"/>
      <c r="G50" s="65"/>
    </row>
    <row r="51" spans="1:7" ht="69" customHeight="1">
      <c r="A51" s="75" t="s">
        <v>36</v>
      </c>
      <c r="B51" s="96" t="s">
        <v>93</v>
      </c>
      <c r="C51" s="31" t="s">
        <v>28</v>
      </c>
      <c r="D51" s="32">
        <v>1</v>
      </c>
      <c r="E51" s="33"/>
      <c r="F51" s="33">
        <f>E51</f>
        <v>0</v>
      </c>
      <c r="G51" s="65"/>
    </row>
    <row r="52" spans="1:7">
      <c r="A52" s="75"/>
      <c r="B52" s="76"/>
      <c r="C52" s="31"/>
      <c r="D52" s="32"/>
      <c r="E52" s="33"/>
      <c r="F52" s="33"/>
      <c r="G52" s="65"/>
    </row>
    <row r="53" spans="1:7">
      <c r="A53" s="111">
        <v>9</v>
      </c>
      <c r="B53" s="310" t="s">
        <v>56</v>
      </c>
      <c r="C53" s="311"/>
      <c r="D53" s="311"/>
      <c r="E53" s="311"/>
      <c r="F53" s="312"/>
      <c r="G53" s="112">
        <f>+SUM(F55:F56)</f>
        <v>0</v>
      </c>
    </row>
    <row r="54" spans="1:7">
      <c r="A54" s="75"/>
      <c r="B54" s="76"/>
      <c r="C54" s="31"/>
      <c r="D54" s="32"/>
      <c r="E54" s="33"/>
      <c r="F54" s="33"/>
      <c r="G54" s="65"/>
    </row>
    <row r="55" spans="1:7" ht="60" customHeight="1">
      <c r="A55" s="75" t="s">
        <v>37</v>
      </c>
      <c r="B55" s="96" t="s">
        <v>78</v>
      </c>
      <c r="C55" s="31" t="s">
        <v>28</v>
      </c>
      <c r="D55" s="32">
        <v>1</v>
      </c>
      <c r="E55" s="33"/>
      <c r="F55" s="33">
        <f>+D55*E55</f>
        <v>0</v>
      </c>
      <c r="G55" s="65"/>
    </row>
    <row r="56" spans="1:7" ht="60" customHeight="1">
      <c r="A56" s="75" t="s">
        <v>136</v>
      </c>
      <c r="B56" s="123" t="s">
        <v>103</v>
      </c>
      <c r="C56" s="31" t="s">
        <v>71</v>
      </c>
      <c r="D56" s="32">
        <f>(1.8*0.6)</f>
        <v>1.08</v>
      </c>
      <c r="E56" s="33"/>
      <c r="F56" s="33">
        <f t="shared" ref="F56" si="1">D56*E56</f>
        <v>0</v>
      </c>
      <c r="G56" s="65"/>
    </row>
    <row r="57" spans="1:7" ht="16.5" customHeight="1">
      <c r="A57" s="75"/>
      <c r="B57" s="76"/>
      <c r="C57" s="31"/>
      <c r="D57" s="32"/>
      <c r="E57" s="33"/>
      <c r="F57" s="33"/>
      <c r="G57" s="65"/>
    </row>
    <row r="58" spans="1:7" ht="16.5" customHeight="1">
      <c r="A58" s="124">
        <v>10</v>
      </c>
      <c r="B58" s="343" t="s">
        <v>57</v>
      </c>
      <c r="C58" s="343"/>
      <c r="D58" s="343"/>
      <c r="E58" s="343"/>
      <c r="F58" s="343"/>
      <c r="G58" s="125">
        <f>+SUM(F65)</f>
        <v>0</v>
      </c>
    </row>
    <row r="59" spans="1:7" ht="16.5" customHeight="1">
      <c r="A59" s="126"/>
      <c r="B59" s="127"/>
      <c r="C59" s="128"/>
      <c r="D59" s="129"/>
      <c r="E59" s="130"/>
      <c r="F59" s="130"/>
      <c r="G59" s="131"/>
    </row>
    <row r="60" spans="1:7" ht="56.25" customHeight="1">
      <c r="A60" s="132" t="s">
        <v>44</v>
      </c>
      <c r="B60" s="123" t="s">
        <v>121</v>
      </c>
      <c r="C60" s="161" t="s">
        <v>77</v>
      </c>
      <c r="D60" s="162">
        <v>1</v>
      </c>
      <c r="E60" s="163"/>
      <c r="F60" s="33">
        <f t="shared" ref="F60" si="2">D60*E60</f>
        <v>0</v>
      </c>
      <c r="G60" s="164"/>
    </row>
    <row r="61" spans="1:7" ht="56.25" customHeight="1">
      <c r="A61" s="132" t="s">
        <v>83</v>
      </c>
      <c r="B61" s="123" t="s">
        <v>123</v>
      </c>
      <c r="C61" s="161" t="s">
        <v>77</v>
      </c>
      <c r="D61" s="162">
        <v>1</v>
      </c>
      <c r="E61" s="163"/>
      <c r="F61" s="33">
        <f t="shared" ref="F61:F62" si="3">D61*E61</f>
        <v>0</v>
      </c>
      <c r="G61" s="164"/>
    </row>
    <row r="62" spans="1:7" ht="56.25" customHeight="1">
      <c r="A62" s="132" t="s">
        <v>122</v>
      </c>
      <c r="B62" s="123" t="s">
        <v>121</v>
      </c>
      <c r="C62" s="161" t="s">
        <v>77</v>
      </c>
      <c r="D62" s="162">
        <v>1</v>
      </c>
      <c r="E62" s="163"/>
      <c r="F62" s="33">
        <f t="shared" si="3"/>
        <v>0</v>
      </c>
      <c r="G62" s="164"/>
    </row>
    <row r="63" spans="1:7" ht="56.25" customHeight="1">
      <c r="A63" s="132" t="s">
        <v>124</v>
      </c>
      <c r="B63" s="123" t="s">
        <v>126</v>
      </c>
      <c r="C63" s="161" t="s">
        <v>77</v>
      </c>
      <c r="D63" s="162">
        <v>2</v>
      </c>
      <c r="E63" s="163"/>
      <c r="F63" s="33">
        <f t="shared" ref="F63:F64" si="4">D63*E63</f>
        <v>0</v>
      </c>
      <c r="G63" s="164"/>
    </row>
    <row r="64" spans="1:7" ht="56.25" customHeight="1">
      <c r="A64" s="132" t="s">
        <v>125</v>
      </c>
      <c r="B64" s="123" t="s">
        <v>127</v>
      </c>
      <c r="C64" s="31" t="s">
        <v>77</v>
      </c>
      <c r="D64" s="170">
        <v>2</v>
      </c>
      <c r="E64" s="76"/>
      <c r="F64" s="33">
        <f t="shared" si="4"/>
        <v>0</v>
      </c>
      <c r="G64" s="164"/>
    </row>
    <row r="65" spans="1:9" ht="16.5" customHeight="1">
      <c r="A65" s="133"/>
      <c r="B65" s="133"/>
      <c r="C65" s="133"/>
      <c r="D65" s="133"/>
      <c r="E65" s="134"/>
      <c r="F65" s="134"/>
      <c r="G65" s="135"/>
    </row>
    <row r="66" spans="1:9" ht="16.5" customHeight="1">
      <c r="A66" s="111">
        <v>11</v>
      </c>
      <c r="B66" s="310" t="s">
        <v>60</v>
      </c>
      <c r="C66" s="311"/>
      <c r="D66" s="311"/>
      <c r="E66" s="311"/>
      <c r="F66" s="312"/>
      <c r="G66" s="112">
        <f>SUM(F69:F70)</f>
        <v>0</v>
      </c>
    </row>
    <row r="67" spans="1:9" ht="16.5" customHeight="1">
      <c r="A67" s="136"/>
      <c r="B67" s="127"/>
      <c r="C67" s="128"/>
      <c r="D67" s="129"/>
      <c r="E67" s="130"/>
      <c r="F67" s="130"/>
      <c r="G67" s="131"/>
    </row>
    <row r="68" spans="1:9" ht="44.25" customHeight="1">
      <c r="A68" s="137" t="s">
        <v>45</v>
      </c>
      <c r="B68" s="76" t="s">
        <v>118</v>
      </c>
      <c r="C68" s="31" t="s">
        <v>77</v>
      </c>
      <c r="D68" s="32">
        <v>2</v>
      </c>
      <c r="E68" s="49"/>
      <c r="F68" s="49">
        <f>D68*E68</f>
        <v>0</v>
      </c>
      <c r="G68" s="103"/>
    </row>
    <row r="69" spans="1:9" ht="47.25" customHeight="1">
      <c r="A69" s="137" t="s">
        <v>61</v>
      </c>
      <c r="B69" s="76" t="s">
        <v>116</v>
      </c>
      <c r="C69" s="31" t="s">
        <v>77</v>
      </c>
      <c r="D69" s="32">
        <v>1</v>
      </c>
      <c r="E69" s="49"/>
      <c r="F69" s="49">
        <f>D69*E69</f>
        <v>0</v>
      </c>
      <c r="G69" s="103"/>
    </row>
    <row r="70" spans="1:9" ht="41.25" customHeight="1">
      <c r="A70" s="137" t="s">
        <v>117</v>
      </c>
      <c r="B70" s="76" t="s">
        <v>128</v>
      </c>
      <c r="C70" s="31" t="s">
        <v>77</v>
      </c>
      <c r="D70" s="32">
        <v>2</v>
      </c>
      <c r="E70" s="49"/>
      <c r="F70" s="49">
        <f>D70*E70</f>
        <v>0</v>
      </c>
      <c r="G70" s="103"/>
    </row>
    <row r="71" spans="1:9" ht="41.25" customHeight="1">
      <c r="A71" s="137" t="s">
        <v>119</v>
      </c>
      <c r="B71" s="76" t="s">
        <v>120</v>
      </c>
      <c r="C71" s="31" t="s">
        <v>77</v>
      </c>
      <c r="D71" s="32">
        <v>1</v>
      </c>
      <c r="E71" s="49"/>
      <c r="F71" s="49">
        <f>D71*E71</f>
        <v>0</v>
      </c>
      <c r="G71" s="103"/>
    </row>
    <row r="72" spans="1:9" ht="15" thickBot="1">
      <c r="A72" s="138"/>
      <c r="B72" s="139"/>
      <c r="C72" s="140"/>
      <c r="D72" s="141"/>
      <c r="E72" s="134"/>
      <c r="F72" s="134"/>
      <c r="G72" s="135"/>
    </row>
    <row r="73" spans="1:9">
      <c r="A73" s="142"/>
      <c r="B73" s="313"/>
      <c r="C73" s="314"/>
      <c r="D73" s="314"/>
      <c r="E73" s="314"/>
      <c r="F73" s="315"/>
      <c r="G73" s="316">
        <f>+SUM(G10:G72)</f>
        <v>0</v>
      </c>
    </row>
    <row r="74" spans="1:9" ht="15" thickBot="1">
      <c r="A74" s="143"/>
      <c r="B74" s="318" t="s">
        <v>34</v>
      </c>
      <c r="C74" s="319"/>
      <c r="D74" s="319"/>
      <c r="E74" s="319"/>
      <c r="F74" s="320"/>
      <c r="G74" s="317"/>
      <c r="I74" s="144"/>
    </row>
  </sheetData>
  <mergeCells count="23">
    <mergeCell ref="B35:F35"/>
    <mergeCell ref="F4:G4"/>
    <mergeCell ref="F5:G5"/>
    <mergeCell ref="A7:A8"/>
    <mergeCell ref="B7:B8"/>
    <mergeCell ref="C7:C8"/>
    <mergeCell ref="D7:D8"/>
    <mergeCell ref="E7:E8"/>
    <mergeCell ref="F7:G7"/>
    <mergeCell ref="A9:G9"/>
    <mergeCell ref="B10:F10"/>
    <mergeCell ref="B16:F16"/>
    <mergeCell ref="B20:F20"/>
    <mergeCell ref="B29:F29"/>
    <mergeCell ref="B73:F73"/>
    <mergeCell ref="G73:G74"/>
    <mergeCell ref="B74:F74"/>
    <mergeCell ref="B41:F41"/>
    <mergeCell ref="B45:F45"/>
    <mergeCell ref="B49:F49"/>
    <mergeCell ref="B53:F53"/>
    <mergeCell ref="B58:F58"/>
    <mergeCell ref="B66:F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opLeftCell="A88" workbookViewId="0">
      <selection activeCell="E68" sqref="E68"/>
    </sheetView>
  </sheetViews>
  <sheetFormatPr defaultRowHeight="14.4"/>
  <cols>
    <col min="1" max="1" width="7.109375" bestFit="1" customWidth="1"/>
    <col min="2" max="2" width="37.6640625" bestFit="1" customWidth="1"/>
    <col min="3" max="3" width="3.6640625" bestFit="1" customWidth="1"/>
    <col min="4" max="4" width="7.88671875" bestFit="1" customWidth="1"/>
    <col min="5" max="5" width="12.6640625" bestFit="1" customWidth="1"/>
    <col min="6" max="6" width="11.44140625" bestFit="1" customWidth="1"/>
    <col min="7" max="7" width="12.109375" customWidth="1"/>
    <col min="10" max="10" width="18.5546875" bestFit="1" customWidth="1"/>
  </cols>
  <sheetData>
    <row r="1" spans="1:10">
      <c r="A1" s="16" t="s">
        <v>1</v>
      </c>
      <c r="B1" s="335" t="s">
        <v>46</v>
      </c>
      <c r="C1" s="335"/>
      <c r="D1" s="335"/>
      <c r="E1" s="335"/>
      <c r="F1" s="17"/>
      <c r="G1" s="18"/>
    </row>
    <row r="2" spans="1:10">
      <c r="A2" s="16" t="s">
        <v>2</v>
      </c>
      <c r="B2" s="19"/>
      <c r="C2" s="18"/>
      <c r="D2" s="18"/>
      <c r="E2" s="20"/>
      <c r="F2" s="324"/>
      <c r="G2" s="324"/>
    </row>
    <row r="3" spans="1:10">
      <c r="A3" s="16" t="s">
        <v>3</v>
      </c>
      <c r="B3" s="335" t="s">
        <v>247</v>
      </c>
      <c r="C3" s="335"/>
      <c r="D3" s="335"/>
      <c r="E3" s="335"/>
      <c r="F3" s="324" t="s">
        <v>115</v>
      </c>
      <c r="G3" s="324"/>
    </row>
    <row r="4" spans="1:10" ht="15" thickBot="1">
      <c r="A4" s="18"/>
      <c r="B4" s="19"/>
      <c r="C4" s="18"/>
      <c r="D4" s="18"/>
      <c r="E4" s="21"/>
      <c r="F4" s="21"/>
      <c r="G4" s="18"/>
    </row>
    <row r="5" spans="1:10" ht="15" thickBot="1">
      <c r="A5" s="336" t="s">
        <v>4</v>
      </c>
      <c r="B5" s="336" t="s">
        <v>5</v>
      </c>
      <c r="C5" s="336" t="s">
        <v>6</v>
      </c>
      <c r="D5" s="340" t="s">
        <v>7</v>
      </c>
      <c r="E5" s="341" t="s">
        <v>8</v>
      </c>
      <c r="F5" s="336" t="s">
        <v>9</v>
      </c>
      <c r="G5" s="336"/>
    </row>
    <row r="6" spans="1:10" ht="15" thickBot="1">
      <c r="A6" s="336"/>
      <c r="B6" s="336" t="s">
        <v>10</v>
      </c>
      <c r="C6" s="336" t="s">
        <v>11</v>
      </c>
      <c r="D6" s="340" t="s">
        <v>12</v>
      </c>
      <c r="E6" s="341"/>
      <c r="F6" s="22" t="s">
        <v>13</v>
      </c>
      <c r="G6" s="23" t="s">
        <v>14</v>
      </c>
    </row>
    <row r="7" spans="1:10" ht="15" thickBot="1">
      <c r="A7" s="336"/>
      <c r="B7" s="336"/>
      <c r="C7" s="336"/>
      <c r="D7" s="336"/>
      <c r="E7" s="336"/>
      <c r="F7" s="336"/>
      <c r="G7" s="336"/>
    </row>
    <row r="8" spans="1:10" ht="15" thickBot="1">
      <c r="A8" s="24">
        <v>1</v>
      </c>
      <c r="B8" s="334" t="s">
        <v>15</v>
      </c>
      <c r="C8" s="334"/>
      <c r="D8" s="334"/>
      <c r="E8" s="334"/>
      <c r="F8" s="334"/>
      <c r="G8" s="25">
        <f>F10</f>
        <v>0</v>
      </c>
    </row>
    <row r="9" spans="1:10">
      <c r="A9" s="26"/>
      <c r="B9" s="19"/>
      <c r="C9" s="19"/>
      <c r="D9" s="19"/>
      <c r="E9" s="27"/>
      <c r="F9" s="27"/>
      <c r="G9" s="28"/>
    </row>
    <row r="10" spans="1:10" ht="55.2">
      <c r="A10" s="66" t="s">
        <v>16</v>
      </c>
      <c r="B10" s="30" t="s">
        <v>210</v>
      </c>
      <c r="C10" s="31" t="s">
        <v>74</v>
      </c>
      <c r="D10" s="32">
        <f>0.15*(48.58)</f>
        <v>7.286999999999999</v>
      </c>
      <c r="E10" s="33"/>
      <c r="F10" s="33">
        <f>D10*E10</f>
        <v>0</v>
      </c>
      <c r="G10" s="34"/>
    </row>
    <row r="11" spans="1:10" ht="15" thickBot="1">
      <c r="A11" s="35"/>
      <c r="B11" s="36"/>
      <c r="C11" s="36"/>
      <c r="D11" s="36"/>
      <c r="E11" s="37"/>
      <c r="F11" s="37"/>
      <c r="G11" s="38"/>
    </row>
    <row r="12" spans="1:10" ht="15" thickBot="1">
      <c r="A12" s="24">
        <v>2</v>
      </c>
      <c r="B12" s="334" t="s">
        <v>38</v>
      </c>
      <c r="C12" s="334"/>
      <c r="D12" s="334"/>
      <c r="E12" s="334"/>
      <c r="F12" s="334"/>
      <c r="G12" s="25">
        <f>F14</f>
        <v>0</v>
      </c>
      <c r="J12" s="95"/>
    </row>
    <row r="13" spans="1:10">
      <c r="A13" s="39"/>
      <c r="B13" s="40"/>
      <c r="C13" s="41"/>
      <c r="D13" s="42"/>
      <c r="E13" s="43"/>
      <c r="F13" s="43"/>
      <c r="G13" s="44"/>
    </row>
    <row r="14" spans="1:10" ht="55.2">
      <c r="A14" s="45" t="s">
        <v>18</v>
      </c>
      <c r="B14" s="46" t="s">
        <v>75</v>
      </c>
      <c r="C14" s="47" t="s">
        <v>74</v>
      </c>
      <c r="D14" s="48">
        <f>0.8*0.8*0.4*4</f>
        <v>1.0240000000000002</v>
      </c>
      <c r="E14" s="49"/>
      <c r="F14" s="49">
        <f>D14*E14</f>
        <v>0</v>
      </c>
      <c r="G14" s="50"/>
    </row>
    <row r="15" spans="1:10" ht="15" thickBot="1">
      <c r="A15" s="51"/>
      <c r="B15" s="52"/>
      <c r="C15" s="53"/>
      <c r="D15" s="54"/>
      <c r="E15" s="55"/>
      <c r="F15" s="55"/>
      <c r="G15" s="56"/>
    </row>
    <row r="16" spans="1:10" ht="15" thickBot="1">
      <c r="A16" s="24">
        <v>3</v>
      </c>
      <c r="B16" s="334" t="s">
        <v>39</v>
      </c>
      <c r="C16" s="334"/>
      <c r="D16" s="334"/>
      <c r="E16" s="334"/>
      <c r="F16" s="334"/>
      <c r="G16" s="25">
        <f>F18+F20+F21+F22+F23</f>
        <v>0</v>
      </c>
    </row>
    <row r="17" spans="1:7">
      <c r="A17" s="39"/>
      <c r="B17" s="40"/>
      <c r="C17" s="41"/>
      <c r="D17" s="42"/>
      <c r="E17" s="43"/>
      <c r="F17" s="43"/>
      <c r="G17" s="44"/>
    </row>
    <row r="18" spans="1:7" ht="41.4">
      <c r="A18" s="57" t="s">
        <v>24</v>
      </c>
      <c r="B18" s="58" t="s">
        <v>211</v>
      </c>
      <c r="C18" s="47" t="s">
        <v>71</v>
      </c>
      <c r="D18" s="47">
        <f>0.6*0.6*4</f>
        <v>1.44</v>
      </c>
      <c r="E18" s="59"/>
      <c r="F18" s="59">
        <f>D18*E18</f>
        <v>0</v>
      </c>
      <c r="G18" s="61"/>
    </row>
    <row r="19" spans="1:7" ht="96.6">
      <c r="A19" s="62" t="s">
        <v>25</v>
      </c>
      <c r="B19" s="63" t="s">
        <v>19</v>
      </c>
      <c r="C19" s="64"/>
      <c r="D19" s="32"/>
      <c r="E19" s="33"/>
      <c r="F19" s="33"/>
      <c r="G19" s="65"/>
    </row>
    <row r="20" spans="1:7" ht="15">
      <c r="A20" s="66" t="s">
        <v>40</v>
      </c>
      <c r="B20" s="63" t="s">
        <v>20</v>
      </c>
      <c r="C20" s="31" t="s">
        <v>74</v>
      </c>
      <c r="D20" s="32">
        <f>0.5*0.5*0.4*4</f>
        <v>0.4</v>
      </c>
      <c r="E20" s="33"/>
      <c r="F20" s="33">
        <f>D20*E20</f>
        <v>0</v>
      </c>
      <c r="G20" s="65"/>
    </row>
    <row r="21" spans="1:7" ht="15">
      <c r="A21" s="66" t="s">
        <v>41</v>
      </c>
      <c r="B21" s="63" t="s">
        <v>21</v>
      </c>
      <c r="C21" s="31" t="s">
        <v>74</v>
      </c>
      <c r="D21" s="32">
        <f>0.2*0.2*3*4</f>
        <v>0.48000000000000009</v>
      </c>
      <c r="E21" s="33"/>
      <c r="F21" s="33">
        <f>D21*E21</f>
        <v>0</v>
      </c>
      <c r="G21" s="65"/>
    </row>
    <row r="22" spans="1:7" ht="15">
      <c r="A22" s="66" t="s">
        <v>42</v>
      </c>
      <c r="B22" s="63" t="s">
        <v>22</v>
      </c>
      <c r="C22" s="31" t="s">
        <v>74</v>
      </c>
      <c r="D22" s="32">
        <f>0.2*0.4*(3.76+3.76+2.99+1.18+1.18+4.32+4.32+1.46+1.46+3.32+3.32+3.32+3.32+0.55+0.55)</f>
        <v>3.1048</v>
      </c>
      <c r="E22" s="33"/>
      <c r="F22" s="33">
        <f>D22*E22</f>
        <v>0</v>
      </c>
      <c r="G22" s="65"/>
    </row>
    <row r="23" spans="1:7" ht="15">
      <c r="A23" s="66" t="s">
        <v>43</v>
      </c>
      <c r="B23" s="63" t="s">
        <v>23</v>
      </c>
      <c r="C23" s="31" t="s">
        <v>74</v>
      </c>
      <c r="D23" s="32">
        <f>0.15*(4.37+12.48+3.92+14.34+5.31)</f>
        <v>6.0629999999999997</v>
      </c>
      <c r="E23" s="33"/>
      <c r="F23" s="33">
        <f>D23*E23</f>
        <v>0</v>
      </c>
      <c r="G23" s="65"/>
    </row>
    <row r="24" spans="1:7" ht="15" thickBot="1">
      <c r="A24" s="67"/>
      <c r="B24" s="68"/>
      <c r="C24" s="68"/>
      <c r="D24" s="68"/>
      <c r="E24" s="69"/>
      <c r="F24" s="69"/>
      <c r="G24" s="70"/>
    </row>
    <row r="25" spans="1:7" ht="15" thickBot="1">
      <c r="A25" s="24">
        <v>4</v>
      </c>
      <c r="B25" s="334" t="s">
        <v>49</v>
      </c>
      <c r="C25" s="334"/>
      <c r="D25" s="334"/>
      <c r="E25" s="334"/>
      <c r="F25" s="334"/>
      <c r="G25" s="25">
        <f>F27+F28</f>
        <v>0</v>
      </c>
    </row>
    <row r="26" spans="1:7">
      <c r="A26" s="71"/>
      <c r="B26" s="72"/>
      <c r="C26" s="72"/>
      <c r="D26" s="72"/>
      <c r="E26" s="73"/>
      <c r="F26" s="73"/>
      <c r="G26" s="74"/>
    </row>
    <row r="27" spans="1:7" ht="96.6">
      <c r="A27" s="75" t="s">
        <v>26</v>
      </c>
      <c r="B27" s="76" t="s">
        <v>132</v>
      </c>
      <c r="C27" s="31" t="s">
        <v>71</v>
      </c>
      <c r="D27" s="32">
        <f>(0.2*(2.99+3.76+4.32+3.76+4.32+1.46+1.46+3.32+3.32+3.32+3.32))</f>
        <v>7.07</v>
      </c>
      <c r="E27" s="33"/>
      <c r="F27" s="33">
        <f>D27*E27</f>
        <v>0</v>
      </c>
      <c r="G27" s="65"/>
    </row>
    <row r="28" spans="1:7" ht="69">
      <c r="A28" s="75" t="s">
        <v>129</v>
      </c>
      <c r="B28" s="76" t="s">
        <v>248</v>
      </c>
      <c r="C28" s="31" t="s">
        <v>71</v>
      </c>
      <c r="D28" s="32">
        <f>(2.89*1.46)-(0.8*2.1)</f>
        <v>2.5394000000000001</v>
      </c>
      <c r="E28" s="33"/>
      <c r="F28" s="33">
        <f>D28*E28</f>
        <v>0</v>
      </c>
      <c r="G28" s="65"/>
    </row>
    <row r="29" spans="1:7" ht="15" thickBot="1">
      <c r="A29" s="77"/>
      <c r="B29" s="78"/>
      <c r="C29" s="53"/>
      <c r="D29" s="54"/>
      <c r="E29" s="55"/>
      <c r="F29" s="55"/>
      <c r="G29" s="79"/>
    </row>
    <row r="30" spans="1:7" ht="15" thickBot="1">
      <c r="A30" s="24">
        <v>5</v>
      </c>
      <c r="B30" s="334" t="s">
        <v>50</v>
      </c>
      <c r="C30" s="334"/>
      <c r="D30" s="334"/>
      <c r="E30" s="334"/>
      <c r="F30" s="334"/>
      <c r="G30" s="25">
        <f>SUM(F31:F37)</f>
        <v>0</v>
      </c>
    </row>
    <row r="31" spans="1:7">
      <c r="A31" s="80"/>
      <c r="B31" s="81"/>
      <c r="C31" s="41"/>
      <c r="D31" s="42"/>
      <c r="E31" s="43"/>
      <c r="F31" s="43"/>
      <c r="G31" s="82"/>
    </row>
    <row r="32" spans="1:7" ht="69">
      <c r="A32" s="234" t="s">
        <v>27</v>
      </c>
      <c r="B32" s="104" t="s">
        <v>249</v>
      </c>
      <c r="C32" s="235" t="s">
        <v>71</v>
      </c>
      <c r="D32" s="236">
        <f>(2.89*(10.06+3.72))-(1.07*1+1*2.1+1.07*1)</f>
        <v>35.584200000000003</v>
      </c>
      <c r="E32" s="33"/>
      <c r="F32" s="237">
        <f>+D32*E32</f>
        <v>0</v>
      </c>
      <c r="G32" s="238"/>
    </row>
    <row r="33" spans="1:7" ht="69">
      <c r="A33" s="234" t="s">
        <v>51</v>
      </c>
      <c r="B33" s="104" t="s">
        <v>212</v>
      </c>
      <c r="C33" s="235" t="s">
        <v>71</v>
      </c>
      <c r="D33" s="236">
        <f>(2.89*(3.32+3.32+3.76+3.76))-(1.07*1+0.87*2.1)+(2.89*(3.32+3.32+1.18+1.18))-(0.87*2.1+1*2.1+1*2.1+0.84*2.1)+(2.89*(3.32+3.32+4.32+4.32))-(1*2.1+1.07*1)+(2.89*(1.46+1.46+1.18+1.18))-(0.8*2.1+0.84*2.1)</f>
        <v>109.0488</v>
      </c>
      <c r="E33" s="33"/>
      <c r="F33" s="237">
        <f>+D33*E33</f>
        <v>0</v>
      </c>
      <c r="G33" s="238"/>
    </row>
    <row r="34" spans="1:7" ht="27.6">
      <c r="A34" s="234" t="s">
        <v>134</v>
      </c>
      <c r="B34" s="104" t="s">
        <v>213</v>
      </c>
      <c r="C34" s="235" t="s">
        <v>71</v>
      </c>
      <c r="D34" s="236">
        <f>(2.89*(10.06+3.72))-(1.07*1+1*2.1+1.07*1)</f>
        <v>35.584200000000003</v>
      </c>
      <c r="E34" s="33"/>
      <c r="F34" s="237">
        <f>+D34*E34</f>
        <v>0</v>
      </c>
      <c r="G34" s="238"/>
    </row>
    <row r="35" spans="1:7" ht="27.6">
      <c r="A35" s="234" t="s">
        <v>145</v>
      </c>
      <c r="B35" s="104" t="s">
        <v>214</v>
      </c>
      <c r="C35" s="235" t="s">
        <v>71</v>
      </c>
      <c r="D35" s="236">
        <f>(2.89*(3.32+3.32+3.76+3.76))-(1.07*1+0.87*2.1)+(2.89*(3.32+3.32+1.18+1.18))-(0.87*2.1+1*2.1+1*2.1+0.84*2.1)+(2.89*(3.32+3.32+4.32+4.32))-(1*2.1+1.07*1)+(2.89*(1.46+1.46+1.18+1.18))-(0.8*2.1+0.84*2.1)</f>
        <v>109.0488</v>
      </c>
      <c r="E35" s="33"/>
      <c r="F35" s="237">
        <f>+D35*E35</f>
        <v>0</v>
      </c>
      <c r="G35" s="238"/>
    </row>
    <row r="36" spans="1:7" ht="27.6">
      <c r="A36" s="234" t="s">
        <v>250</v>
      </c>
      <c r="B36" s="76" t="s">
        <v>135</v>
      </c>
      <c r="C36" s="31" t="s">
        <v>71</v>
      </c>
      <c r="D36" s="32">
        <f>(1.72+2.5+12.48+3.92+14.34+5.31)</f>
        <v>40.269999999999996</v>
      </c>
      <c r="E36" s="33"/>
      <c r="F36" s="33">
        <f>D36*E36</f>
        <v>0</v>
      </c>
      <c r="G36" s="65"/>
    </row>
    <row r="37" spans="1:7" ht="15" thickBot="1">
      <c r="A37" s="77"/>
      <c r="B37" s="78"/>
      <c r="C37" s="53"/>
      <c r="D37" s="54"/>
      <c r="E37" s="55"/>
      <c r="F37" s="55"/>
      <c r="G37" s="79"/>
    </row>
    <row r="38" spans="1:7" ht="15" thickBot="1">
      <c r="A38" s="24">
        <v>6</v>
      </c>
      <c r="B38" s="334" t="s">
        <v>147</v>
      </c>
      <c r="C38" s="334"/>
      <c r="D38" s="334"/>
      <c r="E38" s="334"/>
      <c r="F38" s="334"/>
      <c r="G38" s="25">
        <f>SUM(F39:F49)</f>
        <v>0</v>
      </c>
    </row>
    <row r="39" spans="1:7">
      <c r="A39" s="80"/>
      <c r="B39" s="81"/>
      <c r="C39" s="83"/>
      <c r="D39" s="42"/>
      <c r="E39" s="43"/>
      <c r="F39" s="43"/>
      <c r="G39" s="82"/>
    </row>
    <row r="40" spans="1:7">
      <c r="A40" s="75" t="s">
        <v>32</v>
      </c>
      <c r="B40" s="239" t="s">
        <v>79</v>
      </c>
      <c r="C40" s="239"/>
      <c r="D40" s="239"/>
      <c r="E40" s="239"/>
      <c r="F40" s="239"/>
      <c r="G40" s="240"/>
    </row>
    <row r="41" spans="1:7" ht="69">
      <c r="A41" s="75" t="s">
        <v>148</v>
      </c>
      <c r="B41" s="104" t="s">
        <v>212</v>
      </c>
      <c r="C41" s="31" t="s">
        <v>71</v>
      </c>
      <c r="D41" s="32">
        <f>(2.89*(1.46+1.46+1.71+1.71))-(0.8*2.1)</f>
        <v>16.642600000000002</v>
      </c>
      <c r="E41" s="33"/>
      <c r="F41" s="33">
        <f>D41*E41</f>
        <v>0</v>
      </c>
      <c r="G41" s="65"/>
    </row>
    <row r="42" spans="1:7" ht="27.6">
      <c r="A42" s="75" t="s">
        <v>150</v>
      </c>
      <c r="B42" s="104" t="s">
        <v>214</v>
      </c>
      <c r="C42" s="235" t="s">
        <v>71</v>
      </c>
      <c r="D42" s="32">
        <f>(2.89*(1.46+1.46+1.71+1.71))-(0.8*2.1+0.8*2.1+0.8*2.1)</f>
        <v>13.2826</v>
      </c>
      <c r="E42" s="33"/>
      <c r="F42" s="237">
        <f>+D42*E42</f>
        <v>0</v>
      </c>
      <c r="G42" s="238"/>
    </row>
    <row r="43" spans="1:7" ht="55.2">
      <c r="A43" s="75" t="s">
        <v>151</v>
      </c>
      <c r="B43" s="76" t="s">
        <v>103</v>
      </c>
      <c r="C43" s="31" t="s">
        <v>71</v>
      </c>
      <c r="D43" s="32">
        <f>(2.1*(0.8+0.8))</f>
        <v>3.3600000000000003</v>
      </c>
      <c r="E43" s="33"/>
      <c r="F43" s="33">
        <f t="shared" ref="F43:F44" si="0">D43*E43</f>
        <v>0</v>
      </c>
      <c r="G43" s="65"/>
    </row>
    <row r="44" spans="1:7" ht="55.2">
      <c r="A44" s="75" t="s">
        <v>153</v>
      </c>
      <c r="B44" s="76" t="s">
        <v>105</v>
      </c>
      <c r="C44" s="31" t="s">
        <v>71</v>
      </c>
      <c r="D44" s="236">
        <f>2.5</f>
        <v>2.5</v>
      </c>
      <c r="E44" s="33"/>
      <c r="F44" s="33">
        <f t="shared" si="0"/>
        <v>0</v>
      </c>
      <c r="G44" s="65"/>
    </row>
    <row r="45" spans="1:7">
      <c r="A45" s="75" t="s">
        <v>251</v>
      </c>
      <c r="B45" s="239" t="s">
        <v>29</v>
      </c>
      <c r="C45" s="239"/>
      <c r="D45" s="239"/>
      <c r="E45" s="239"/>
      <c r="F45" s="239"/>
      <c r="G45" s="240"/>
    </row>
    <row r="46" spans="1:7" ht="69">
      <c r="A46" s="75" t="s">
        <v>252</v>
      </c>
      <c r="B46" s="76" t="s">
        <v>30</v>
      </c>
      <c r="C46" s="31" t="s">
        <v>76</v>
      </c>
      <c r="D46" s="32">
        <v>1</v>
      </c>
      <c r="E46" s="33"/>
      <c r="F46" s="33">
        <f>D46*E46</f>
        <v>0</v>
      </c>
      <c r="G46" s="65"/>
    </row>
    <row r="47" spans="1:7" ht="69">
      <c r="A47" s="75" t="s">
        <v>253</v>
      </c>
      <c r="B47" s="76" t="s">
        <v>31</v>
      </c>
      <c r="C47" s="31" t="s">
        <v>76</v>
      </c>
      <c r="D47" s="32">
        <v>1</v>
      </c>
      <c r="E47" s="33"/>
      <c r="F47" s="33">
        <f>D47*E47</f>
        <v>0</v>
      </c>
      <c r="G47" s="65"/>
    </row>
    <row r="48" spans="1:7" ht="69">
      <c r="A48" s="75" t="s">
        <v>254</v>
      </c>
      <c r="B48" s="76" t="s">
        <v>80</v>
      </c>
      <c r="C48" s="31" t="s">
        <v>76</v>
      </c>
      <c r="D48" s="32">
        <v>1</v>
      </c>
      <c r="E48" s="33"/>
      <c r="F48" s="33">
        <f>D48*E48</f>
        <v>0</v>
      </c>
      <c r="G48" s="65"/>
    </row>
    <row r="49" spans="1:7" ht="15" thickBot="1">
      <c r="A49" s="77"/>
      <c r="B49" s="78"/>
      <c r="C49" s="84"/>
      <c r="D49" s="54"/>
      <c r="E49" s="55"/>
      <c r="F49" s="55"/>
      <c r="G49" s="79"/>
    </row>
    <row r="50" spans="1:7" ht="15" thickBot="1">
      <c r="A50" s="24">
        <v>7</v>
      </c>
      <c r="B50" s="334" t="s">
        <v>155</v>
      </c>
      <c r="C50" s="334"/>
      <c r="D50" s="334"/>
      <c r="E50" s="334"/>
      <c r="F50" s="334"/>
      <c r="G50" s="25">
        <f>F52</f>
        <v>0</v>
      </c>
    </row>
    <row r="51" spans="1:7">
      <c r="A51" s="80"/>
      <c r="B51" s="81"/>
      <c r="C51" s="83"/>
      <c r="D51" s="42"/>
      <c r="E51" s="43"/>
      <c r="F51" s="43"/>
      <c r="G51" s="82"/>
    </row>
    <row r="52" spans="1:7" ht="55.2">
      <c r="A52" s="85" t="s">
        <v>33</v>
      </c>
      <c r="B52" s="86" t="s">
        <v>217</v>
      </c>
      <c r="C52" s="87" t="s">
        <v>28</v>
      </c>
      <c r="D52" s="88">
        <v>1</v>
      </c>
      <c r="E52" s="89"/>
      <c r="F52" s="89">
        <f>D52*E52</f>
        <v>0</v>
      </c>
      <c r="G52" s="90"/>
    </row>
    <row r="53" spans="1:7" ht="15" thickBot="1">
      <c r="A53" s="77"/>
      <c r="B53" s="78"/>
      <c r="C53" s="84"/>
      <c r="D53" s="54"/>
      <c r="E53" s="55"/>
      <c r="F53" s="55"/>
      <c r="G53" s="79"/>
    </row>
    <row r="54" spans="1:7" ht="15" thickBot="1">
      <c r="A54" s="24">
        <v>8</v>
      </c>
      <c r="B54" s="334" t="s">
        <v>218</v>
      </c>
      <c r="C54" s="334"/>
      <c r="D54" s="334"/>
      <c r="E54" s="334"/>
      <c r="F54" s="334"/>
      <c r="G54" s="25">
        <f>F56+F57</f>
        <v>0</v>
      </c>
    </row>
    <row r="55" spans="1:7">
      <c r="A55" s="80"/>
      <c r="B55" s="81"/>
      <c r="C55" s="41"/>
      <c r="D55" s="42"/>
      <c r="E55" s="43"/>
      <c r="F55" s="43"/>
      <c r="G55" s="82"/>
    </row>
    <row r="56" spans="1:7" ht="69">
      <c r="A56" s="75" t="s">
        <v>36</v>
      </c>
      <c r="B56" s="76" t="s">
        <v>255</v>
      </c>
      <c r="C56" s="31" t="s">
        <v>28</v>
      </c>
      <c r="D56" s="32">
        <v>1</v>
      </c>
      <c r="E56" s="33"/>
      <c r="F56" s="33">
        <f>D56*E56</f>
        <v>0</v>
      </c>
      <c r="G56" s="65"/>
    </row>
    <row r="57" spans="1:7" ht="55.2">
      <c r="A57" s="75" t="s">
        <v>191</v>
      </c>
      <c r="B57" s="76" t="s">
        <v>220</v>
      </c>
      <c r="C57" s="31" t="s">
        <v>28</v>
      </c>
      <c r="D57" s="32">
        <v>1</v>
      </c>
      <c r="E57" s="33"/>
      <c r="F57" s="33">
        <f>D57*E57</f>
        <v>0</v>
      </c>
      <c r="G57" s="65"/>
    </row>
    <row r="58" spans="1:7" ht="15" thickBot="1">
      <c r="A58" s="77"/>
      <c r="B58" s="91"/>
      <c r="C58" s="92"/>
      <c r="D58" s="93"/>
      <c r="E58" s="55"/>
      <c r="F58" s="55"/>
      <c r="G58" s="79"/>
    </row>
    <row r="59" spans="1:7" ht="15" thickBot="1">
      <c r="A59" s="24">
        <v>9</v>
      </c>
      <c r="B59" s="334" t="s">
        <v>159</v>
      </c>
      <c r="C59" s="334"/>
      <c r="D59" s="334"/>
      <c r="E59" s="334"/>
      <c r="F59" s="334"/>
      <c r="G59" s="25">
        <f>F61+F62+F63+F64</f>
        <v>0</v>
      </c>
    </row>
    <row r="60" spans="1:7">
      <c r="A60" s="80"/>
      <c r="B60" s="81"/>
      <c r="C60" s="41"/>
      <c r="D60" s="42"/>
      <c r="E60" s="43"/>
      <c r="F60" s="43"/>
      <c r="G60" s="82"/>
    </row>
    <row r="61" spans="1:7" ht="82.8">
      <c r="A61" s="75" t="s">
        <v>37</v>
      </c>
      <c r="B61" s="76" t="s">
        <v>256</v>
      </c>
      <c r="C61" s="31" t="s">
        <v>28</v>
      </c>
      <c r="D61" s="32">
        <v>1</v>
      </c>
      <c r="E61" s="33"/>
      <c r="F61" s="33">
        <f>D61*E61</f>
        <v>0</v>
      </c>
      <c r="G61" s="65"/>
    </row>
    <row r="62" spans="1:7" ht="69">
      <c r="A62" s="75" t="s">
        <v>136</v>
      </c>
      <c r="B62" s="76" t="s">
        <v>257</v>
      </c>
      <c r="C62" s="31" t="s">
        <v>28</v>
      </c>
      <c r="D62" s="32">
        <v>1</v>
      </c>
      <c r="E62" s="33"/>
      <c r="F62" s="33">
        <f>D62*E62</f>
        <v>0</v>
      </c>
      <c r="G62" s="65"/>
    </row>
    <row r="63" spans="1:7" ht="69">
      <c r="A63" s="75" t="s">
        <v>258</v>
      </c>
      <c r="B63" s="76" t="s">
        <v>221</v>
      </c>
      <c r="C63" s="31" t="s">
        <v>28</v>
      </c>
      <c r="D63" s="32">
        <v>1</v>
      </c>
      <c r="E63" s="33"/>
      <c r="F63" s="33">
        <f>D63*E63</f>
        <v>0</v>
      </c>
      <c r="G63" s="65"/>
    </row>
    <row r="64" spans="1:7" ht="55.2">
      <c r="A64" s="75" t="s">
        <v>259</v>
      </c>
      <c r="B64" s="76" t="s">
        <v>260</v>
      </c>
      <c r="C64" s="31" t="s">
        <v>28</v>
      </c>
      <c r="D64" s="32">
        <v>1</v>
      </c>
      <c r="E64" s="33"/>
      <c r="F64" s="33">
        <f>D64*E64</f>
        <v>0</v>
      </c>
      <c r="G64" s="65"/>
    </row>
    <row r="65" spans="1:7" ht="15" thickBot="1">
      <c r="A65" s="77"/>
      <c r="B65" s="91"/>
      <c r="C65" s="92"/>
      <c r="D65" s="93"/>
      <c r="E65" s="55"/>
      <c r="F65" s="55"/>
      <c r="G65" s="79"/>
    </row>
    <row r="66" spans="1:7" ht="15" thickBot="1">
      <c r="A66" s="24">
        <v>10</v>
      </c>
      <c r="B66" s="334" t="s">
        <v>162</v>
      </c>
      <c r="C66" s="334"/>
      <c r="D66" s="334"/>
      <c r="E66" s="334"/>
      <c r="F66" s="334"/>
      <c r="G66" s="25">
        <f>F68+F69</f>
        <v>0</v>
      </c>
    </row>
    <row r="67" spans="1:7">
      <c r="A67" s="80"/>
      <c r="B67" s="81"/>
      <c r="C67" s="41"/>
      <c r="D67" s="42"/>
      <c r="E67" s="43"/>
      <c r="F67" s="43"/>
      <c r="G67" s="82"/>
    </row>
    <row r="68" spans="1:7" ht="69">
      <c r="A68" s="85" t="s">
        <v>44</v>
      </c>
      <c r="B68" s="96" t="s">
        <v>222</v>
      </c>
      <c r="C68" s="87" t="s">
        <v>28</v>
      </c>
      <c r="D68" s="88">
        <v>1</v>
      </c>
      <c r="E68" s="89"/>
      <c r="F68" s="89">
        <f>D68*E68</f>
        <v>0</v>
      </c>
      <c r="G68" s="90"/>
    </row>
    <row r="69" spans="1:7" ht="55.2">
      <c r="A69" s="85" t="s">
        <v>83</v>
      </c>
      <c r="B69" s="76" t="s">
        <v>103</v>
      </c>
      <c r="C69" s="31" t="s">
        <v>71</v>
      </c>
      <c r="D69" s="32">
        <f>(0.6*1.8)</f>
        <v>1.08</v>
      </c>
      <c r="E69" s="33"/>
      <c r="F69" s="33">
        <f t="shared" ref="F69" si="1">D69*E69</f>
        <v>0</v>
      </c>
      <c r="G69" s="65"/>
    </row>
    <row r="70" spans="1:7" ht="15" thickBot="1">
      <c r="A70" s="77"/>
      <c r="B70" s="78"/>
      <c r="C70" s="53"/>
      <c r="D70" s="54"/>
      <c r="E70" s="55"/>
      <c r="F70" s="55"/>
      <c r="G70" s="79"/>
    </row>
    <row r="71" spans="1:7" ht="15" thickBot="1">
      <c r="A71" s="241">
        <v>11</v>
      </c>
      <c r="B71" s="333" t="s">
        <v>223</v>
      </c>
      <c r="C71" s="333"/>
      <c r="D71" s="333"/>
      <c r="E71" s="333"/>
      <c r="F71" s="333"/>
      <c r="G71" s="242">
        <f>SUM(F72:F76)</f>
        <v>0</v>
      </c>
    </row>
    <row r="72" spans="1:7">
      <c r="A72" s="243"/>
      <c r="B72" s="244"/>
      <c r="C72" s="245"/>
      <c r="D72" s="246"/>
      <c r="E72" s="247"/>
      <c r="F72" s="247"/>
      <c r="G72" s="248"/>
    </row>
    <row r="73" spans="1:7" ht="69">
      <c r="A73" s="234" t="s">
        <v>45</v>
      </c>
      <c r="B73" s="76" t="s">
        <v>261</v>
      </c>
      <c r="C73" s="235" t="s">
        <v>77</v>
      </c>
      <c r="D73" s="236">
        <v>1</v>
      </c>
      <c r="E73" s="237"/>
      <c r="F73" s="237">
        <f t="shared" ref="F73:F75" si="2">+D73*E73</f>
        <v>0</v>
      </c>
      <c r="G73" s="238"/>
    </row>
    <row r="74" spans="1:7" ht="69">
      <c r="A74" s="234" t="s">
        <v>61</v>
      </c>
      <c r="B74" s="76" t="s">
        <v>235</v>
      </c>
      <c r="C74" s="235" t="s">
        <v>77</v>
      </c>
      <c r="D74" s="236">
        <v>1</v>
      </c>
      <c r="E74" s="237"/>
      <c r="F74" s="237">
        <f t="shared" si="2"/>
        <v>0</v>
      </c>
      <c r="G74" s="238"/>
    </row>
    <row r="75" spans="1:7" ht="69">
      <c r="A75" s="234" t="s">
        <v>117</v>
      </c>
      <c r="B75" s="76" t="s">
        <v>262</v>
      </c>
      <c r="C75" s="235" t="s">
        <v>77</v>
      </c>
      <c r="D75" s="236">
        <v>2</v>
      </c>
      <c r="E75" s="237"/>
      <c r="F75" s="237">
        <f t="shared" si="2"/>
        <v>0</v>
      </c>
      <c r="G75" s="238"/>
    </row>
    <row r="76" spans="1:7" ht="15" thickBot="1">
      <c r="A76" s="249"/>
      <c r="B76" s="250"/>
      <c r="C76" s="251"/>
      <c r="D76" s="252"/>
      <c r="E76" s="253"/>
      <c r="F76" s="253"/>
      <c r="G76" s="254"/>
    </row>
    <row r="77" spans="1:7" ht="15" thickBot="1">
      <c r="A77" s="241">
        <v>12</v>
      </c>
      <c r="B77" s="333" t="s">
        <v>242</v>
      </c>
      <c r="C77" s="333"/>
      <c r="D77" s="333"/>
      <c r="E77" s="333"/>
      <c r="F77" s="333"/>
      <c r="G77" s="242">
        <f>SUM(F78:F81)</f>
        <v>0</v>
      </c>
    </row>
    <row r="78" spans="1:7">
      <c r="A78" s="243"/>
      <c r="B78" s="244"/>
      <c r="C78" s="245"/>
      <c r="D78" s="246"/>
      <c r="E78" s="247"/>
      <c r="F78" s="247"/>
      <c r="G78" s="248"/>
    </row>
    <row r="79" spans="1:7" ht="41.4">
      <c r="A79" s="234" t="s">
        <v>165</v>
      </c>
      <c r="B79" s="104" t="s">
        <v>263</v>
      </c>
      <c r="C79" s="235" t="s">
        <v>77</v>
      </c>
      <c r="D79" s="236">
        <v>1</v>
      </c>
      <c r="E79" s="237"/>
      <c r="F79" s="237">
        <f>+D79*E79</f>
        <v>0</v>
      </c>
      <c r="G79" s="238"/>
    </row>
    <row r="80" spans="1:7" ht="41.4">
      <c r="A80" s="234" t="s">
        <v>167</v>
      </c>
      <c r="B80" s="104" t="s">
        <v>264</v>
      </c>
      <c r="C80" s="235" t="s">
        <v>77</v>
      </c>
      <c r="D80" s="236">
        <v>1</v>
      </c>
      <c r="E80" s="237"/>
      <c r="F80" s="237">
        <f>+D80*E80</f>
        <v>0</v>
      </c>
      <c r="G80" s="238"/>
    </row>
    <row r="81" spans="1:7" ht="15" thickBot="1">
      <c r="A81" s="249"/>
      <c r="B81" s="250"/>
      <c r="C81" s="251"/>
      <c r="D81" s="252"/>
      <c r="E81" s="253"/>
      <c r="F81" s="253"/>
      <c r="G81" s="254"/>
    </row>
    <row r="82" spans="1:7" ht="15" thickBot="1">
      <c r="A82" s="24">
        <v>13</v>
      </c>
      <c r="B82" s="334" t="s">
        <v>245</v>
      </c>
      <c r="C82" s="334"/>
      <c r="D82" s="334"/>
      <c r="E82" s="334"/>
      <c r="F82" s="334"/>
      <c r="G82" s="25">
        <f>F84+F85</f>
        <v>0</v>
      </c>
    </row>
    <row r="83" spans="1:7">
      <c r="A83" s="80"/>
      <c r="B83" s="81"/>
      <c r="C83" s="41"/>
      <c r="D83" s="42"/>
      <c r="E83" s="43"/>
      <c r="F83" s="43"/>
      <c r="G83" s="82"/>
    </row>
    <row r="84" spans="1:7" ht="55.2">
      <c r="A84" s="75" t="s">
        <v>246</v>
      </c>
      <c r="B84" s="76" t="s">
        <v>265</v>
      </c>
      <c r="C84" s="31" t="s">
        <v>71</v>
      </c>
      <c r="D84" s="32">
        <f>1*10.06</f>
        <v>10.06</v>
      </c>
      <c r="E84" s="33"/>
      <c r="F84" s="33">
        <f>D84*E84</f>
        <v>0</v>
      </c>
      <c r="G84" s="65"/>
    </row>
    <row r="85" spans="1:7" ht="55.2">
      <c r="A85" s="75" t="s">
        <v>266</v>
      </c>
      <c r="B85" s="76" t="s">
        <v>173</v>
      </c>
      <c r="C85" s="31" t="s">
        <v>77</v>
      </c>
      <c r="D85" s="32">
        <v>1</v>
      </c>
      <c r="E85" s="33"/>
      <c r="F85" s="33">
        <f>D85*E85</f>
        <v>0</v>
      </c>
      <c r="G85" s="65"/>
    </row>
    <row r="86" spans="1:7" ht="15" thickBot="1">
      <c r="A86" s="77"/>
      <c r="B86" s="78"/>
      <c r="C86" s="53"/>
      <c r="D86" s="54"/>
      <c r="E86" s="55"/>
      <c r="F86" s="55"/>
      <c r="G86" s="79"/>
    </row>
    <row r="87" spans="1:7" ht="15" thickBot="1">
      <c r="A87" s="94"/>
      <c r="B87" s="340"/>
      <c r="C87" s="340"/>
      <c r="D87" s="340"/>
      <c r="E87" s="340"/>
      <c r="F87" s="340"/>
      <c r="G87" s="340">
        <f>SUM(G8:G86)</f>
        <v>0</v>
      </c>
    </row>
    <row r="88" spans="1:7" ht="15" thickBot="1">
      <c r="A88" s="94"/>
      <c r="B88" s="342" t="s">
        <v>34</v>
      </c>
      <c r="C88" s="342"/>
      <c r="D88" s="342"/>
      <c r="E88" s="342"/>
      <c r="F88" s="342"/>
      <c r="G88" s="336"/>
    </row>
  </sheetData>
  <mergeCells count="27">
    <mergeCell ref="B87:F87"/>
    <mergeCell ref="G87:G88"/>
    <mergeCell ref="B88:F88"/>
    <mergeCell ref="B59:F59"/>
    <mergeCell ref="B66:F66"/>
    <mergeCell ref="B71:F71"/>
    <mergeCell ref="B77:F77"/>
    <mergeCell ref="B82:F82"/>
    <mergeCell ref="B1:E1"/>
    <mergeCell ref="F2:G2"/>
    <mergeCell ref="B3:E3"/>
    <mergeCell ref="F3:G3"/>
    <mergeCell ref="A5:A6"/>
    <mergeCell ref="B5:B6"/>
    <mergeCell ref="C5:C6"/>
    <mergeCell ref="D5:D6"/>
    <mergeCell ref="E5:E6"/>
    <mergeCell ref="F5:G5"/>
    <mergeCell ref="B54:F54"/>
    <mergeCell ref="A7:G7"/>
    <mergeCell ref="B8:F8"/>
    <mergeCell ref="B12:F12"/>
    <mergeCell ref="B16:F16"/>
    <mergeCell ref="B25:F25"/>
    <mergeCell ref="B30:F30"/>
    <mergeCell ref="B38:F38"/>
    <mergeCell ref="B50:F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11</vt:i4>
      </vt:variant>
    </vt:vector>
  </HeadingPairs>
  <TitlesOfParts>
    <vt:vector size="11" baseType="lpstr">
      <vt:lpstr>Lista</vt:lpstr>
      <vt:lpstr>CAP.0-ESTALEIRO</vt:lpstr>
      <vt:lpstr>PAULA MONTEIRO</vt:lpstr>
      <vt:lpstr>Maria Baptista Mendes Costa</vt:lpstr>
      <vt:lpstr>RAISA GOMES</vt:lpstr>
      <vt:lpstr>CATARINA RODRUIGUES</vt:lpstr>
      <vt:lpstr>Anabela Martins Vaz</vt:lpstr>
      <vt:lpstr>Adriana Tavares Furtado</vt:lpstr>
      <vt:lpstr>Gabriela da Costa Evora</vt:lpstr>
      <vt:lpstr>Rosalina da Conceiçao Silva</vt:lpstr>
      <vt:lpstr>Ondina da Veiga Semedo Cardoso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MIOTH / Assessora - Amelvira Moreira Borges Tavares</dc:creator>
  <cp:lastModifiedBy>Carlos Pinheiro</cp:lastModifiedBy>
  <cp:lastPrinted>2023-11-04T09:14:56Z</cp:lastPrinted>
  <dcterms:created xsi:type="dcterms:W3CDTF">2022-06-10T13:18:18Z</dcterms:created>
  <dcterms:modified xsi:type="dcterms:W3CDTF">2024-01-05T16:04:46Z</dcterms:modified>
</cp:coreProperties>
</file>